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00010557\Downloads\"/>
    </mc:Choice>
  </mc:AlternateContent>
  <xr:revisionPtr revIDLastSave="331" documentId="13_ncr:1_{482DCA5E-D9E6-413F-8728-00B66DAAE721}" xr6:coauthVersionLast="47" xr6:coauthVersionMax="47" xr10:uidLastSave="{DF7EBA80-08B1-4AD1-B204-0C637675C746}"/>
  <bookViews>
    <workbookView xWindow="-120" yWindow="-120" windowWidth="29040" windowHeight="15840" xr2:uid="{00000000-000D-0000-FFFF-FFFF00000000}"/>
  </bookViews>
  <sheets>
    <sheet name="KPKD" sheetId="4" r:id="rId1"/>
  </sheets>
  <definedNames>
    <definedName name="_xlnm._FilterDatabase" localSheetId="0" hidden="1">KPKD!$B$5:$P$107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4" l="1"/>
  <c r="F106" i="4"/>
  <c r="E106" i="4"/>
  <c r="D106" i="4"/>
  <c r="F105" i="4"/>
  <c r="E105" i="4"/>
  <c r="D105" i="4"/>
  <c r="D104" i="4"/>
  <c r="F103" i="4"/>
  <c r="E103" i="4"/>
  <c r="D103" i="4"/>
  <c r="F102" i="4"/>
  <c r="E102" i="4"/>
  <c r="D102" i="4"/>
  <c r="D101" i="4"/>
  <c r="F100" i="4"/>
  <c r="E100" i="4"/>
  <c r="D100" i="4"/>
  <c r="F99" i="4"/>
  <c r="E99" i="4"/>
  <c r="D99" i="4"/>
  <c r="D98" i="4"/>
  <c r="F97" i="4"/>
  <c r="E97" i="4"/>
  <c r="D97" i="4"/>
  <c r="F96" i="4"/>
  <c r="E96" i="4"/>
  <c r="D96" i="4"/>
  <c r="D95" i="4"/>
  <c r="F94" i="4"/>
  <c r="E94" i="4"/>
  <c r="D94" i="4"/>
  <c r="F93" i="4"/>
  <c r="E93" i="4"/>
  <c r="D93" i="4"/>
  <c r="D92" i="4"/>
  <c r="D91" i="4"/>
  <c r="F90" i="4"/>
  <c r="E90" i="4"/>
  <c r="D90" i="4"/>
  <c r="D89" i="4"/>
  <c r="F88" i="4"/>
  <c r="E88" i="4"/>
  <c r="D88" i="4"/>
  <c r="F87" i="4"/>
  <c r="E87" i="4"/>
  <c r="D87" i="4"/>
  <c r="F82" i="4"/>
  <c r="E82" i="4"/>
  <c r="F81" i="4"/>
  <c r="E81" i="4"/>
  <c r="F23" i="4"/>
  <c r="E23" i="4"/>
  <c r="F22" i="4"/>
  <c r="E22" i="4"/>
  <c r="E25" i="4"/>
  <c r="F25" i="4"/>
  <c r="F28" i="4"/>
  <c r="E28" i="4"/>
  <c r="F31" i="4"/>
  <c r="E31" i="4"/>
  <c r="F34" i="4"/>
  <c r="E34" i="4"/>
  <c r="F48" i="4"/>
  <c r="E48" i="4"/>
  <c r="F44" i="4"/>
  <c r="E44" i="4"/>
  <c r="F41" i="4"/>
  <c r="E41" i="4"/>
  <c r="F37" i="4"/>
  <c r="E37" i="4"/>
  <c r="F40" i="4"/>
  <c r="E40" i="4"/>
  <c r="F51" i="4"/>
  <c r="E51" i="4"/>
  <c r="F52" i="4"/>
  <c r="E52" i="4"/>
  <c r="F54" i="4"/>
  <c r="E54" i="4"/>
  <c r="F55" i="4"/>
  <c r="E55" i="4"/>
  <c r="F57" i="4"/>
  <c r="E57" i="4"/>
  <c r="F58" i="4"/>
  <c r="E58" i="4"/>
  <c r="F60" i="4"/>
  <c r="E60" i="4"/>
  <c r="F63" i="4"/>
  <c r="E63" i="4"/>
  <c r="F64" i="4"/>
  <c r="E64" i="4"/>
  <c r="F67" i="4"/>
  <c r="E67" i="4"/>
  <c r="F66" i="4"/>
  <c r="E66" i="4"/>
  <c r="F70" i="4"/>
  <c r="E70" i="4"/>
  <c r="F69" i="4"/>
  <c r="E69" i="4"/>
  <c r="F72" i="4"/>
  <c r="E72" i="4"/>
  <c r="F73" i="4"/>
  <c r="E73" i="4"/>
  <c r="F75" i="4"/>
  <c r="E75" i="4"/>
  <c r="F76" i="4"/>
  <c r="E76" i="4"/>
  <c r="F78" i="4"/>
  <c r="E78" i="4"/>
  <c r="F79" i="4"/>
  <c r="E79" i="4"/>
  <c r="F20" i="4"/>
  <c r="E20" i="4"/>
  <c r="F19" i="4"/>
  <c r="E19" i="4"/>
  <c r="F17" i="4"/>
  <c r="E17" i="4"/>
  <c r="F16" i="4"/>
  <c r="E16" i="4"/>
  <c r="F13" i="4"/>
  <c r="E13" i="4"/>
  <c r="F11" i="4"/>
  <c r="E11" i="4"/>
  <c r="F10" i="4"/>
  <c r="E10" i="4"/>
  <c r="F8" i="4"/>
  <c r="E8" i="4"/>
  <c r="F7" i="4"/>
  <c r="E7" i="4"/>
  <c r="D83" i="4" l="1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3" i="4"/>
  <c r="D39" i="4"/>
  <c r="D36" i="4"/>
  <c r="D33" i="4"/>
  <c r="D30" i="4"/>
  <c r="D27" i="4"/>
  <c r="D24" i="4"/>
  <c r="D21" i="4"/>
  <c r="D18" i="4"/>
  <c r="D15" i="4"/>
  <c r="D12" i="4"/>
  <c r="D9" i="4"/>
  <c r="D42" i="4"/>
  <c r="D38" i="4"/>
  <c r="D35" i="4"/>
  <c r="D32" i="4"/>
  <c r="D29" i="4"/>
  <c r="D26" i="4"/>
  <c r="D23" i="4"/>
  <c r="D20" i="4"/>
  <c r="D17" i="4"/>
  <c r="D14" i="4"/>
  <c r="D11" i="4"/>
  <c r="D8" i="4"/>
  <c r="D41" i="4"/>
  <c r="D37" i="4"/>
  <c r="D34" i="4"/>
  <c r="D31" i="4"/>
  <c r="D28" i="4"/>
  <c r="D25" i="4"/>
  <c r="D22" i="4"/>
  <c r="D19" i="4"/>
  <c r="D16" i="4"/>
  <c r="D13" i="4"/>
  <c r="D10" i="4"/>
  <c r="D7" i="4"/>
</calcChain>
</file>

<file path=xl/sharedStrings.xml><?xml version="1.0" encoding="utf-8"?>
<sst xmlns="http://schemas.openxmlformats.org/spreadsheetml/2006/main" count="155" uniqueCount="23">
  <si>
    <t>MYT petition filed before Hon'ble Commission (MERC Case No. 187/MY/2024) -- Data Gaps Set -I</t>
  </si>
  <si>
    <t>Table 3: Format for submission of details regarding coal availability</t>
  </si>
  <si>
    <t>KHAPERKHEDA TPS</t>
  </si>
  <si>
    <t>Month</t>
  </si>
  <si>
    <t>Coal Company</t>
  </si>
  <si>
    <r>
      <t xml:space="preserve">Prorata ACQ as per the </t>
    </r>
    <r>
      <rPr>
        <b/>
        <i/>
        <sz val="11"/>
        <color rgb="FF000000"/>
        <rFont val="Times New Roman"/>
        <family val="1"/>
      </rPr>
      <t>FSA /BL/MoU</t>
    </r>
  </si>
  <si>
    <t>Requirement given to the Coal Company</t>
  </si>
  <si>
    <t>Quantum agreed to be supplied by the Coal Company</t>
  </si>
  <si>
    <t>Requisition placed with Railways during the month</t>
  </si>
  <si>
    <t>Actual quantum of coal supplied*</t>
  </si>
  <si>
    <t>Transfer to other Stations</t>
  </si>
  <si>
    <t>Details of those Stations to which the coal has been transferred (T001)</t>
  </si>
  <si>
    <t>Details of those Stations to which the coal has been transferred (T002)</t>
  </si>
  <si>
    <t>Details of those Stations to which the coal has been transferred (T004)</t>
  </si>
  <si>
    <t>Details of those Stations to which the coal has been transferred (T005)</t>
  </si>
  <si>
    <t>Details of those Stations to which the coal has been transferred(T006)</t>
  </si>
  <si>
    <t>Details of those Stations to which the coal has been transferred (T007)</t>
  </si>
  <si>
    <t>Remark</t>
  </si>
  <si>
    <t>Ton</t>
  </si>
  <si>
    <t>WCL</t>
  </si>
  <si>
    <t>MCL</t>
  </si>
  <si>
    <t>SECL</t>
  </si>
  <si>
    <t>SCCL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</si>
</sst>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>
    <font>
      <sz val="11"/>
      <color theme="1"/>
      <name val="Calibri"/>
      <family val="2"/>
      <scheme val="minor"/>
    </font>
    <font>
      <b/>
      <sz val="11"/>
      <color rgb="FF24242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name val="Cambria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/>
    </xf>
    <xf numFmtId="0" fontId="2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/>
    <xf numFmtId="165" fontId="0" fillId="0" borderId="4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17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9" xfId="0" applyFont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2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6881-E25C-4E4C-A904-E883F6E40DC9}">
  <dimension ref="B2:P107"/>
  <sheetViews>
    <sheetView tabSelected="1" zoomScale="85" zoomScaleNormal="85" workbookViewId="0">
      <pane ySplit="6" topLeftCell="A21" activePane="bottomLeft" state="frozen"/>
      <selection pane="bottomLeft" activeCell="C86" sqref="C86"/>
    </sheetView>
  </sheetViews>
  <sheetFormatPr defaultRowHeight="15"/>
  <cols>
    <col min="1" max="2" width="9.140625" style="2"/>
    <col min="3" max="3" width="10.42578125" style="2" customWidth="1"/>
    <col min="4" max="5" width="13.5703125" style="2" customWidth="1"/>
    <col min="6" max="6" width="14" style="2" customWidth="1"/>
    <col min="7" max="7" width="14.140625" style="2" customWidth="1"/>
    <col min="8" max="8" width="14.5703125" style="2" customWidth="1"/>
    <col min="9" max="9" width="14.28515625" style="2" customWidth="1"/>
    <col min="10" max="15" width="21" style="2" customWidth="1"/>
    <col min="16" max="16" width="11.28515625" style="2" customWidth="1"/>
    <col min="17" max="16384" width="9.140625" style="2"/>
  </cols>
  <sheetData>
    <row r="2" spans="2:16">
      <c r="B2" s="1" t="s">
        <v>0</v>
      </c>
    </row>
    <row r="3" spans="2:16">
      <c r="B3" s="3" t="s">
        <v>1</v>
      </c>
    </row>
    <row r="4" spans="2:16">
      <c r="B4" s="3" t="s">
        <v>2</v>
      </c>
    </row>
    <row r="5" spans="2:16" ht="83.25" customHeight="1">
      <c r="B5" s="24" t="s">
        <v>3</v>
      </c>
      <c r="C5" s="2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9" t="s">
        <v>9</v>
      </c>
      <c r="I5" s="9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9" t="s">
        <v>17</v>
      </c>
    </row>
    <row r="6" spans="2:16">
      <c r="B6" s="24"/>
      <c r="C6" s="24"/>
      <c r="D6" s="4" t="s">
        <v>18</v>
      </c>
      <c r="E6" s="4" t="s">
        <v>18</v>
      </c>
      <c r="F6" s="4" t="s">
        <v>18</v>
      </c>
      <c r="G6" s="4" t="s">
        <v>18</v>
      </c>
      <c r="H6" s="18" t="s">
        <v>18</v>
      </c>
      <c r="I6" s="18" t="s">
        <v>18</v>
      </c>
      <c r="J6" s="18" t="s">
        <v>18</v>
      </c>
      <c r="K6" s="18" t="s">
        <v>18</v>
      </c>
      <c r="L6" s="18" t="s">
        <v>18</v>
      </c>
      <c r="M6" s="18" t="s">
        <v>18</v>
      </c>
      <c r="N6" s="18" t="s">
        <v>18</v>
      </c>
      <c r="O6" s="18" t="s">
        <v>18</v>
      </c>
      <c r="P6" s="4"/>
    </row>
    <row r="7" spans="2:16" ht="15.75">
      <c r="B7" s="23">
        <v>44652</v>
      </c>
      <c r="C7" s="5" t="s">
        <v>19</v>
      </c>
      <c r="D7" s="8">
        <f>+((1.432*25/100)/3)*1000000</f>
        <v>119333.33333333333</v>
      </c>
      <c r="E7" s="6">
        <f>1*30*3850+120000+15500</f>
        <v>251000</v>
      </c>
      <c r="F7" s="6">
        <f>1*30*3850+120000+15500</f>
        <v>251000</v>
      </c>
      <c r="G7" s="14"/>
      <c r="H7" s="12">
        <v>188259.93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5"/>
    </row>
    <row r="8" spans="2:16" ht="15.75">
      <c r="B8" s="23"/>
      <c r="C8" s="5" t="s">
        <v>20</v>
      </c>
      <c r="D8" s="8">
        <f>+((3.879*25/100)/3)*1000000</f>
        <v>323250</v>
      </c>
      <c r="E8" s="6">
        <f>114000+132000+184750</f>
        <v>430750</v>
      </c>
      <c r="F8" s="6">
        <f>114000+132000+184750</f>
        <v>430750</v>
      </c>
      <c r="G8" s="14"/>
      <c r="H8" s="12">
        <v>166619.12</v>
      </c>
      <c r="I8" s="12">
        <v>19896.580000000002</v>
      </c>
      <c r="J8" s="12">
        <v>0</v>
      </c>
      <c r="K8" s="12">
        <v>0</v>
      </c>
      <c r="L8" s="12">
        <v>19896.580000000002</v>
      </c>
      <c r="M8" s="12">
        <v>0</v>
      </c>
      <c r="N8" s="12">
        <v>0</v>
      </c>
      <c r="O8" s="12">
        <v>0</v>
      </c>
      <c r="P8" s="15"/>
    </row>
    <row r="9" spans="2:16" ht="15.75">
      <c r="B9" s="23"/>
      <c r="C9" s="5" t="s">
        <v>21</v>
      </c>
      <c r="D9" s="8">
        <f>+((2.001*25/100)/3)*1000000</f>
        <v>166749.99999999997</v>
      </c>
      <c r="E9" s="6">
        <v>0</v>
      </c>
      <c r="F9" s="6">
        <v>0</v>
      </c>
      <c r="G9" s="14"/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5"/>
    </row>
    <row r="10" spans="2:16" ht="15.75">
      <c r="B10" s="23">
        <v>44682</v>
      </c>
      <c r="C10" s="5" t="s">
        <v>19</v>
      </c>
      <c r="D10" s="8">
        <f>+((1.432*25/100)/3)*1000000</f>
        <v>119333.33333333333</v>
      </c>
      <c r="E10" s="6">
        <f>1*31*3850+120000+15500</f>
        <v>254850</v>
      </c>
      <c r="F10" s="6">
        <f>1*31*3850+120000+15500</f>
        <v>254850</v>
      </c>
      <c r="G10" s="14"/>
      <c r="H10" s="12">
        <v>195354.6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5"/>
    </row>
    <row r="11" spans="2:16" ht="15.75">
      <c r="B11" s="23"/>
      <c r="C11" s="5" t="s">
        <v>20</v>
      </c>
      <c r="D11" s="8">
        <f>+((3.879*25/100)/3)*1000000</f>
        <v>323250</v>
      </c>
      <c r="E11" s="6">
        <f>120000+240000+116820+6347+83333+101417</f>
        <v>667917</v>
      </c>
      <c r="F11" s="6">
        <f>120000+240000+116820+6347+83333+101417</f>
        <v>667917</v>
      </c>
      <c r="G11" s="14"/>
      <c r="H11" s="12">
        <v>181305.69</v>
      </c>
      <c r="I11" s="12">
        <v>7856.46</v>
      </c>
      <c r="J11" s="12">
        <v>0</v>
      </c>
      <c r="K11" s="26">
        <v>0</v>
      </c>
      <c r="L11" s="26">
        <v>7856.46</v>
      </c>
      <c r="M11" s="26">
        <v>0</v>
      </c>
      <c r="N11" s="26">
        <v>0</v>
      </c>
      <c r="O11" s="26">
        <v>0</v>
      </c>
      <c r="P11" s="15"/>
    </row>
    <row r="12" spans="2:16" ht="15.75">
      <c r="B12" s="23"/>
      <c r="C12" s="5" t="s">
        <v>21</v>
      </c>
      <c r="D12" s="8">
        <f>+((2.001*25/100)/3)*1000000</f>
        <v>166749.99999999997</v>
      </c>
      <c r="E12" s="6">
        <v>75000</v>
      </c>
      <c r="F12" s="6">
        <v>75000</v>
      </c>
      <c r="G12" s="14"/>
      <c r="H12" s="12">
        <v>14877.87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5"/>
    </row>
    <row r="13" spans="2:16" ht="15.75">
      <c r="B13" s="23">
        <v>44713</v>
      </c>
      <c r="C13" s="5" t="s">
        <v>19</v>
      </c>
      <c r="D13" s="8">
        <f>+((1.432*25/100)/3)*1000000</f>
        <v>119333.33333333333</v>
      </c>
      <c r="E13" s="6">
        <f>1*30*3850+120000+15000</f>
        <v>250500</v>
      </c>
      <c r="F13" s="6">
        <f>1*30*3850+120000+15000</f>
        <v>250500</v>
      </c>
      <c r="G13" s="14"/>
      <c r="H13" s="12">
        <v>147136.54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5"/>
    </row>
    <row r="14" spans="2:16" ht="15.75">
      <c r="B14" s="23"/>
      <c r="C14" s="5" t="s">
        <v>20</v>
      </c>
      <c r="D14" s="8">
        <f>+((3.879*25/100)/3)*1000000</f>
        <v>323250</v>
      </c>
      <c r="E14" s="6">
        <v>535750</v>
      </c>
      <c r="F14" s="6">
        <v>535750</v>
      </c>
      <c r="G14" s="14"/>
      <c r="H14" s="12">
        <v>279758.98</v>
      </c>
      <c r="I14" s="12">
        <v>59224.81</v>
      </c>
      <c r="J14" s="12">
        <v>0</v>
      </c>
      <c r="K14" s="26">
        <v>36987.21</v>
      </c>
      <c r="L14" s="12">
        <v>22237.599999999999</v>
      </c>
      <c r="M14" s="12">
        <v>0</v>
      </c>
      <c r="N14" s="12">
        <v>0</v>
      </c>
      <c r="O14" s="12">
        <v>0</v>
      </c>
      <c r="P14" s="15"/>
    </row>
    <row r="15" spans="2:16" ht="15.75">
      <c r="B15" s="23"/>
      <c r="C15" s="5" t="s">
        <v>21</v>
      </c>
      <c r="D15" s="8">
        <f>+((2.001*25/100)/3)*1000000</f>
        <v>166749.99999999997</v>
      </c>
      <c r="E15" s="6">
        <v>150000</v>
      </c>
      <c r="F15" s="6">
        <v>150000</v>
      </c>
      <c r="G15" s="14"/>
      <c r="H15" s="12">
        <v>49133.919999999998</v>
      </c>
      <c r="I15" s="12">
        <v>15142.77</v>
      </c>
      <c r="J15" s="12">
        <v>0</v>
      </c>
      <c r="K15" s="12">
        <v>11296.01</v>
      </c>
      <c r="L15" s="12">
        <v>3846.76</v>
      </c>
      <c r="M15" s="12">
        <v>0</v>
      </c>
      <c r="N15" s="12">
        <v>0</v>
      </c>
      <c r="O15" s="12">
        <v>0</v>
      </c>
      <c r="P15" s="15"/>
    </row>
    <row r="16" spans="2:16" ht="15.75">
      <c r="B16" s="23">
        <v>44743</v>
      </c>
      <c r="C16" s="5" t="s">
        <v>19</v>
      </c>
      <c r="D16" s="8">
        <f>+((1.432*22/100)/3)*1000000</f>
        <v>105013.33333333333</v>
      </c>
      <c r="E16" s="6">
        <f>1*31*3850+120000+15500</f>
        <v>254850</v>
      </c>
      <c r="F16" s="6">
        <f>1*31*3850+120000+15500</f>
        <v>254850</v>
      </c>
      <c r="G16" s="14"/>
      <c r="H16" s="12">
        <v>71171.77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5"/>
    </row>
    <row r="17" spans="2:16" ht="15.75">
      <c r="B17" s="23"/>
      <c r="C17" s="5" t="s">
        <v>20</v>
      </c>
      <c r="D17" s="8">
        <f>+((3.879*22/100)/3)*1000000</f>
        <v>284460</v>
      </c>
      <c r="E17" s="6">
        <f>235600+83330+101420</f>
        <v>420350</v>
      </c>
      <c r="F17" s="6">
        <f>235600+83330+101420</f>
        <v>420350</v>
      </c>
      <c r="G17" s="14"/>
      <c r="H17" s="12">
        <v>368374.44</v>
      </c>
      <c r="I17" s="12">
        <v>198253.11</v>
      </c>
      <c r="J17" s="12">
        <v>29229.78</v>
      </c>
      <c r="K17" s="12">
        <v>114936.16</v>
      </c>
      <c r="L17" s="12">
        <v>38962.959999999999</v>
      </c>
      <c r="M17" s="12">
        <v>0</v>
      </c>
      <c r="N17" s="12">
        <v>15124.21</v>
      </c>
      <c r="O17" s="12">
        <v>0</v>
      </c>
      <c r="P17" s="15"/>
    </row>
    <row r="18" spans="2:16" ht="15.75">
      <c r="B18" s="23"/>
      <c r="C18" s="5" t="s">
        <v>21</v>
      </c>
      <c r="D18" s="8">
        <f>+((2.001*22/100)/3)*1000000</f>
        <v>146740</v>
      </c>
      <c r="E18" s="6">
        <v>0</v>
      </c>
      <c r="F18" s="6">
        <v>0</v>
      </c>
      <c r="G18" s="14"/>
      <c r="H18" s="12">
        <v>99315.39</v>
      </c>
      <c r="I18" s="12">
        <v>27489.599999999999</v>
      </c>
      <c r="J18" s="12">
        <v>7680.1</v>
      </c>
      <c r="K18" s="12">
        <v>19809.5</v>
      </c>
      <c r="L18" s="12">
        <v>0</v>
      </c>
      <c r="M18" s="12">
        <v>0</v>
      </c>
      <c r="N18" s="12">
        <v>0</v>
      </c>
      <c r="O18" s="12">
        <v>0</v>
      </c>
      <c r="P18" s="15"/>
    </row>
    <row r="19" spans="2:16" ht="15.75">
      <c r="B19" s="23">
        <v>44774</v>
      </c>
      <c r="C19" s="5" t="s">
        <v>19</v>
      </c>
      <c r="D19" s="8">
        <f>+((1.432*22/100)/3)*1000000</f>
        <v>105013.33333333333</v>
      </c>
      <c r="E19" s="7">
        <f>1*31*3850+186000+15500</f>
        <v>320850</v>
      </c>
      <c r="F19" s="7">
        <f>1*31*3850+186000+15500</f>
        <v>320850</v>
      </c>
      <c r="G19" s="14"/>
      <c r="H19" s="12">
        <v>62308.39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5"/>
    </row>
    <row r="20" spans="2:16" ht="15.75">
      <c r="B20" s="23"/>
      <c r="C20" s="5" t="s">
        <v>20</v>
      </c>
      <c r="D20" s="8">
        <f>+((3.879*22/100)/3)*1000000</f>
        <v>284460</v>
      </c>
      <c r="E20" s="7">
        <f>238700+123166+83330+101420</f>
        <v>546616</v>
      </c>
      <c r="F20" s="7">
        <f>238700+123166+83330+101420</f>
        <v>546616</v>
      </c>
      <c r="G20" s="14"/>
      <c r="H20" s="12">
        <v>311724.94</v>
      </c>
      <c r="I20" s="12">
        <v>138857.70000000001</v>
      </c>
      <c r="J20" s="12">
        <v>18012.98</v>
      </c>
      <c r="K20" s="12">
        <v>56158.92</v>
      </c>
      <c r="L20" s="12">
        <v>11079.45</v>
      </c>
      <c r="M20" s="12">
        <v>0</v>
      </c>
      <c r="N20" s="12">
        <v>53606.35</v>
      </c>
      <c r="O20" s="12">
        <v>0</v>
      </c>
      <c r="P20" s="15"/>
    </row>
    <row r="21" spans="2:16" ht="15.75">
      <c r="B21" s="23"/>
      <c r="C21" s="5" t="s">
        <v>21</v>
      </c>
      <c r="D21" s="8">
        <f>+((2.001*22/100)/3)*1000000</f>
        <v>146740</v>
      </c>
      <c r="E21" s="7">
        <v>0</v>
      </c>
      <c r="F21" s="7">
        <v>0</v>
      </c>
      <c r="G21" s="14"/>
      <c r="H21" s="12">
        <v>91384.41</v>
      </c>
      <c r="I21" s="12">
        <v>53987.97</v>
      </c>
      <c r="J21" s="12">
        <v>3911.4</v>
      </c>
      <c r="K21" s="12">
        <v>50076.57</v>
      </c>
      <c r="L21" s="12">
        <v>0</v>
      </c>
      <c r="M21" s="12">
        <v>0</v>
      </c>
      <c r="N21" s="12">
        <v>0</v>
      </c>
      <c r="O21" s="12">
        <v>0</v>
      </c>
      <c r="P21" s="15"/>
    </row>
    <row r="22" spans="2:16" ht="15.75">
      <c r="B22" s="23">
        <v>44805</v>
      </c>
      <c r="C22" s="5" t="s">
        <v>19</v>
      </c>
      <c r="D22" s="8">
        <f>+((1.432*22/100)/3)*1000000</f>
        <v>105013.33333333333</v>
      </c>
      <c r="E22" s="6">
        <f>1*31*3850+180000+15000</f>
        <v>314350</v>
      </c>
      <c r="F22" s="6">
        <f>1*31*3850+180000+15000</f>
        <v>314350</v>
      </c>
      <c r="G22" s="14"/>
      <c r="H22" s="12">
        <v>77734.28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5"/>
    </row>
    <row r="23" spans="2:16" ht="15.75">
      <c r="B23" s="23"/>
      <c r="C23" s="5" t="s">
        <v>20</v>
      </c>
      <c r="D23" s="8">
        <f>+((3.879*22/100)/3)*1000000</f>
        <v>284460</v>
      </c>
      <c r="E23" s="7">
        <f>231000+83330+101420</f>
        <v>415750</v>
      </c>
      <c r="F23" s="7">
        <f>231000+83330+101420</f>
        <v>415750</v>
      </c>
      <c r="G23" s="14"/>
      <c r="H23" s="12">
        <v>225291.49</v>
      </c>
      <c r="I23" s="12">
        <v>69735.009999999995</v>
      </c>
      <c r="J23" s="12">
        <v>3858.39</v>
      </c>
      <c r="K23" s="12">
        <v>29515.97</v>
      </c>
      <c r="L23" s="12">
        <v>7726.95</v>
      </c>
      <c r="M23" s="12">
        <v>0</v>
      </c>
      <c r="N23" s="12">
        <v>28633.7</v>
      </c>
      <c r="O23" s="12">
        <v>0</v>
      </c>
      <c r="P23" s="15"/>
    </row>
    <row r="24" spans="2:16" ht="15.75">
      <c r="B24" s="23"/>
      <c r="C24" s="5" t="s">
        <v>21</v>
      </c>
      <c r="D24" s="8">
        <f>+((2.001*22/100)/3)*1000000</f>
        <v>146740</v>
      </c>
      <c r="E24" s="7">
        <v>0</v>
      </c>
      <c r="F24" s="7">
        <v>0</v>
      </c>
      <c r="G24" s="14"/>
      <c r="H24" s="12">
        <v>64192.81</v>
      </c>
      <c r="I24" s="12">
        <v>31404.9</v>
      </c>
      <c r="J24" s="12">
        <v>3853.1</v>
      </c>
      <c r="K24" s="12">
        <v>19508.3</v>
      </c>
      <c r="L24" s="12">
        <v>0</v>
      </c>
      <c r="M24" s="12">
        <v>0</v>
      </c>
      <c r="N24" s="12">
        <v>8043.5</v>
      </c>
      <c r="O24" s="12">
        <v>0</v>
      </c>
      <c r="P24" s="15"/>
    </row>
    <row r="25" spans="2:16" ht="15.75">
      <c r="B25" s="23">
        <v>44835</v>
      </c>
      <c r="C25" s="5" t="s">
        <v>19</v>
      </c>
      <c r="D25" s="8">
        <f>+((1.432*25/100)/3)*1000000</f>
        <v>119333.33333333333</v>
      </c>
      <c r="E25" s="6">
        <f>1*31*3850+186000+15500</f>
        <v>320850</v>
      </c>
      <c r="F25" s="6">
        <f>1*31*3850+186000+15500</f>
        <v>320850</v>
      </c>
      <c r="G25" s="14"/>
      <c r="H25" s="12">
        <v>89133.7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5"/>
    </row>
    <row r="26" spans="2:16" ht="15.75">
      <c r="B26" s="23"/>
      <c r="C26" s="5" t="s">
        <v>20</v>
      </c>
      <c r="D26" s="8">
        <f>+((3.879*25/100)/3)*1000000</f>
        <v>323250</v>
      </c>
      <c r="E26" s="7">
        <v>423450</v>
      </c>
      <c r="F26" s="7">
        <v>423450</v>
      </c>
      <c r="G26" s="14"/>
      <c r="H26" s="12">
        <v>208181.08</v>
      </c>
      <c r="I26" s="12">
        <v>21246.21</v>
      </c>
      <c r="J26" s="12">
        <v>0</v>
      </c>
      <c r="K26" s="12">
        <v>17587.080000000002</v>
      </c>
      <c r="L26" s="12">
        <v>0</v>
      </c>
      <c r="M26" s="12">
        <v>0</v>
      </c>
      <c r="N26" s="12">
        <v>3659.13</v>
      </c>
      <c r="O26" s="12">
        <v>0</v>
      </c>
      <c r="P26" s="15"/>
    </row>
    <row r="27" spans="2:16" ht="15.75">
      <c r="B27" s="23"/>
      <c r="C27" s="5" t="s">
        <v>21</v>
      </c>
      <c r="D27" s="8">
        <f>+((2.001*25/100)/3)*1000000</f>
        <v>166749.99999999997</v>
      </c>
      <c r="E27" s="7">
        <v>0</v>
      </c>
      <c r="F27" s="7">
        <v>0</v>
      </c>
      <c r="G27" s="14"/>
      <c r="H27" s="12">
        <v>18532.62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5"/>
    </row>
    <row r="28" spans="2:16" ht="15.75">
      <c r="B28" s="23">
        <v>44866</v>
      </c>
      <c r="C28" s="5" t="s">
        <v>19</v>
      </c>
      <c r="D28" s="8">
        <f>+((1.432*25/100)/3)*1000000</f>
        <v>119333.33333333333</v>
      </c>
      <c r="E28" s="6">
        <f>1*31*3850+180000+15000</f>
        <v>314350</v>
      </c>
      <c r="F28" s="6">
        <f>1*31*3850+180000+15000</f>
        <v>314350</v>
      </c>
      <c r="G28" s="14"/>
      <c r="H28" s="12">
        <v>95339.38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7"/>
    </row>
    <row r="29" spans="2:16" ht="15.75">
      <c r="B29" s="23"/>
      <c r="C29" s="5" t="s">
        <v>20</v>
      </c>
      <c r="D29" s="8">
        <f>+((3.879*25/100)/3)*1000000</f>
        <v>323250</v>
      </c>
      <c r="E29" s="7">
        <v>415750</v>
      </c>
      <c r="F29" s="7">
        <v>415750</v>
      </c>
      <c r="G29" s="14"/>
      <c r="H29" s="12">
        <v>272640.15000000002</v>
      </c>
      <c r="I29" s="12">
        <v>55798.879999999997</v>
      </c>
      <c r="J29" s="12">
        <v>0</v>
      </c>
      <c r="K29" s="12">
        <v>48325.94</v>
      </c>
      <c r="L29" s="12">
        <v>0</v>
      </c>
      <c r="M29" s="12">
        <v>0</v>
      </c>
      <c r="N29" s="12">
        <v>7472.94</v>
      </c>
      <c r="O29" s="12">
        <v>0</v>
      </c>
      <c r="P29" s="17"/>
    </row>
    <row r="30" spans="2:16" ht="15.75">
      <c r="B30" s="23"/>
      <c r="C30" s="5" t="s">
        <v>21</v>
      </c>
      <c r="D30" s="8">
        <f>+((2.001*25/100)/3)*1000000</f>
        <v>166749.99999999997</v>
      </c>
      <c r="E30" s="7">
        <v>0</v>
      </c>
      <c r="F30" s="7">
        <v>0</v>
      </c>
      <c r="G30" s="14"/>
      <c r="H30" s="12">
        <v>59.4</v>
      </c>
      <c r="I30" s="12">
        <v>59.4</v>
      </c>
      <c r="J30" s="12">
        <v>0</v>
      </c>
      <c r="K30" s="12">
        <v>59.4</v>
      </c>
      <c r="L30" s="12">
        <v>0</v>
      </c>
      <c r="M30" s="12">
        <v>0</v>
      </c>
      <c r="N30" s="12">
        <v>0</v>
      </c>
      <c r="O30" s="12">
        <v>0</v>
      </c>
      <c r="P30" s="17"/>
    </row>
    <row r="31" spans="2:16" ht="15.75">
      <c r="B31" s="23">
        <v>44896</v>
      </c>
      <c r="C31" s="5" t="s">
        <v>19</v>
      </c>
      <c r="D31" s="8">
        <f>+((1.432*25/100)/3)*1000000</f>
        <v>119333.33333333333</v>
      </c>
      <c r="E31" s="6">
        <f>1*31*3850+186000+15500</f>
        <v>320850</v>
      </c>
      <c r="F31" s="6">
        <f>1*31*3850+186000+15500</f>
        <v>320850</v>
      </c>
      <c r="G31" s="14"/>
      <c r="H31" s="12">
        <v>90311.63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7"/>
    </row>
    <row r="32" spans="2:16" ht="15.75">
      <c r="B32" s="23"/>
      <c r="C32" s="5" t="s">
        <v>20</v>
      </c>
      <c r="D32" s="8">
        <f>+((3.879*25/100)/3)*1000000</f>
        <v>323250</v>
      </c>
      <c r="E32" s="7">
        <v>432597</v>
      </c>
      <c r="F32" s="7">
        <v>432597</v>
      </c>
      <c r="G32" s="14"/>
      <c r="H32" s="12">
        <v>240544.77</v>
      </c>
      <c r="I32" s="12">
        <v>68109.47</v>
      </c>
      <c r="J32" s="12">
        <v>15586.59</v>
      </c>
      <c r="K32" s="12">
        <v>41511.22</v>
      </c>
      <c r="L32" s="12">
        <v>0</v>
      </c>
      <c r="M32" s="12">
        <v>0</v>
      </c>
      <c r="N32" s="12">
        <v>11011.66</v>
      </c>
      <c r="O32" s="12">
        <v>0</v>
      </c>
      <c r="P32" s="17"/>
    </row>
    <row r="33" spans="2:16" ht="15.75">
      <c r="B33" s="23"/>
      <c r="C33" s="5" t="s">
        <v>21</v>
      </c>
      <c r="D33" s="8">
        <f>+((2.001*25/100)/3)*1000000</f>
        <v>166749.99999999997</v>
      </c>
      <c r="E33" s="7">
        <v>0</v>
      </c>
      <c r="F33" s="7">
        <v>0</v>
      </c>
      <c r="G33" s="14"/>
      <c r="H33" s="12">
        <v>16160.92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7"/>
    </row>
    <row r="34" spans="2:16" ht="15.75">
      <c r="B34" s="23">
        <v>44927</v>
      </c>
      <c r="C34" s="5" t="s">
        <v>19</v>
      </c>
      <c r="D34" s="8">
        <f>+((1.432*28/100)/3)*1000000</f>
        <v>133653.33333333331</v>
      </c>
      <c r="E34" s="6">
        <f>1*31*3850+186000+15500</f>
        <v>320850</v>
      </c>
      <c r="F34" s="6">
        <f>1*31*3850+186000+15500</f>
        <v>320850</v>
      </c>
      <c r="G34" s="14"/>
      <c r="H34" s="12">
        <v>173036.26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7"/>
    </row>
    <row r="35" spans="2:16" ht="15.75">
      <c r="B35" s="23"/>
      <c r="C35" s="5" t="s">
        <v>20</v>
      </c>
      <c r="D35" s="8">
        <f>+((3.879*28/100)/3)*1000000</f>
        <v>362040</v>
      </c>
      <c r="E35" s="6">
        <v>554600</v>
      </c>
      <c r="F35" s="6">
        <v>554600</v>
      </c>
      <c r="G35" s="14"/>
      <c r="H35" s="12">
        <v>172651.51</v>
      </c>
      <c r="I35" s="12">
        <v>47145.47</v>
      </c>
      <c r="J35" s="12">
        <v>0</v>
      </c>
      <c r="K35" s="12">
        <v>27464.69</v>
      </c>
      <c r="L35" s="12">
        <v>19680.78</v>
      </c>
      <c r="M35" s="12">
        <v>0</v>
      </c>
      <c r="N35" s="12">
        <v>0</v>
      </c>
      <c r="O35" s="12">
        <v>0</v>
      </c>
      <c r="P35" s="17"/>
    </row>
    <row r="36" spans="2:16" ht="15.75">
      <c r="B36" s="23"/>
      <c r="C36" s="5" t="s">
        <v>21</v>
      </c>
      <c r="D36" s="8">
        <f>+((2.001*28/100)/3)*1000000</f>
        <v>186760</v>
      </c>
      <c r="E36" s="6">
        <v>117800</v>
      </c>
      <c r="F36" s="6">
        <v>117800</v>
      </c>
      <c r="G36" s="14"/>
      <c r="H36" s="12">
        <v>20452.75</v>
      </c>
      <c r="I36" s="12">
        <v>4142.7</v>
      </c>
      <c r="J36" s="12">
        <v>0</v>
      </c>
      <c r="K36" s="12">
        <v>0</v>
      </c>
      <c r="L36" s="12">
        <v>4142.7</v>
      </c>
      <c r="M36" s="12">
        <v>0</v>
      </c>
      <c r="N36" s="12">
        <v>0</v>
      </c>
      <c r="O36" s="12">
        <v>0</v>
      </c>
      <c r="P36" s="17"/>
    </row>
    <row r="37" spans="2:16" ht="15.75">
      <c r="B37" s="23">
        <v>44958</v>
      </c>
      <c r="C37" s="5" t="s">
        <v>19</v>
      </c>
      <c r="D37" s="8">
        <f>+((1.432*28/100)/3)*1000000</f>
        <v>133653.33333333331</v>
      </c>
      <c r="E37" s="6">
        <f>2*28*3850+168000+14000</f>
        <v>397600</v>
      </c>
      <c r="F37" s="6">
        <f>2*28*3850+168000+14000</f>
        <v>397600</v>
      </c>
      <c r="G37" s="14"/>
      <c r="H37" s="12">
        <v>256391.15</v>
      </c>
      <c r="I37" s="12">
        <v>11794.36</v>
      </c>
      <c r="J37" s="12">
        <v>4015.27</v>
      </c>
      <c r="K37" s="12">
        <v>0</v>
      </c>
      <c r="L37" s="12">
        <v>0</v>
      </c>
      <c r="M37" s="12">
        <v>3987.46</v>
      </c>
      <c r="N37" s="12">
        <v>3791.63</v>
      </c>
      <c r="O37" s="12">
        <v>0</v>
      </c>
      <c r="P37" s="17"/>
    </row>
    <row r="38" spans="2:16" ht="15.75">
      <c r="B38" s="23"/>
      <c r="C38" s="5" t="s">
        <v>20</v>
      </c>
      <c r="D38" s="8">
        <f>+((3.879*28/100)/3)*1000000</f>
        <v>362040</v>
      </c>
      <c r="E38" s="6">
        <v>431573</v>
      </c>
      <c r="F38" s="6">
        <v>431573</v>
      </c>
      <c r="G38" s="14"/>
      <c r="H38" s="12">
        <v>78503.42</v>
      </c>
      <c r="I38" s="12">
        <v>11714.13</v>
      </c>
      <c r="J38" s="12">
        <v>7881.29</v>
      </c>
      <c r="K38" s="12">
        <v>0</v>
      </c>
      <c r="L38" s="12">
        <v>0</v>
      </c>
      <c r="M38" s="12">
        <v>0</v>
      </c>
      <c r="N38" s="12">
        <v>3832.84</v>
      </c>
      <c r="O38" s="12">
        <v>0</v>
      </c>
      <c r="P38" s="17"/>
    </row>
    <row r="39" spans="2:16" ht="15.75">
      <c r="B39" s="23"/>
      <c r="C39" s="5" t="s">
        <v>21</v>
      </c>
      <c r="D39" s="8">
        <f>+((2.001*28/100)/3)*1000000</f>
        <v>186760</v>
      </c>
      <c r="E39" s="6">
        <v>107800</v>
      </c>
      <c r="F39" s="6">
        <v>107800</v>
      </c>
      <c r="G39" s="14"/>
      <c r="H39" s="12">
        <v>91416.61</v>
      </c>
      <c r="I39" s="12">
        <v>7848.98</v>
      </c>
      <c r="J39" s="12">
        <v>3997.73</v>
      </c>
      <c r="K39" s="12">
        <v>0</v>
      </c>
      <c r="L39" s="12">
        <v>3851.25</v>
      </c>
      <c r="M39" s="12">
        <v>0</v>
      </c>
      <c r="N39" s="12">
        <v>0</v>
      </c>
      <c r="O39" s="12">
        <v>0</v>
      </c>
      <c r="P39" s="17"/>
    </row>
    <row r="40" spans="2:16">
      <c r="B40" s="34"/>
      <c r="C40" s="20" t="s">
        <v>22</v>
      </c>
      <c r="D40" s="19">
        <v>0</v>
      </c>
      <c r="E40" s="19">
        <f>28*3850</f>
        <v>107800</v>
      </c>
      <c r="F40" s="19">
        <f>28*3850</f>
        <v>107800</v>
      </c>
      <c r="G40" s="30"/>
      <c r="H40" s="31">
        <v>100910.39999999999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22"/>
    </row>
    <row r="41" spans="2:16" ht="15.75">
      <c r="B41" s="32">
        <v>44986</v>
      </c>
      <c r="C41" s="13" t="s">
        <v>19</v>
      </c>
      <c r="D41" s="11">
        <f>+((1.432*28/100)/3)*1000000</f>
        <v>133653.33333333331</v>
      </c>
      <c r="E41" s="33">
        <f>2*31*3850+186000+15500</f>
        <v>440200</v>
      </c>
      <c r="F41" s="33">
        <f>2*31*3850+186000+15500</f>
        <v>440200</v>
      </c>
      <c r="G41" s="13"/>
      <c r="H41" s="12">
        <v>248685.69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3"/>
    </row>
    <row r="42" spans="2:16" ht="15.75">
      <c r="B42" s="32"/>
      <c r="C42" s="13" t="s">
        <v>20</v>
      </c>
      <c r="D42" s="11">
        <f>+((3.879*28/100)/3)*1000000</f>
        <v>362040</v>
      </c>
      <c r="E42" s="33">
        <v>636628</v>
      </c>
      <c r="F42" s="33">
        <v>636628</v>
      </c>
      <c r="G42" s="13"/>
      <c r="H42" s="12">
        <v>148541.09</v>
      </c>
      <c r="I42" s="12">
        <v>37158.980000000003</v>
      </c>
      <c r="J42" s="12">
        <v>7561.95</v>
      </c>
      <c r="K42" s="12">
        <v>7551.56</v>
      </c>
      <c r="L42" s="12">
        <v>0</v>
      </c>
      <c r="M42" s="12">
        <v>0</v>
      </c>
      <c r="N42" s="12">
        <v>22045.47</v>
      </c>
      <c r="O42" s="12">
        <v>0</v>
      </c>
      <c r="P42" s="13"/>
    </row>
    <row r="43" spans="2:16" ht="15.75">
      <c r="B43" s="32"/>
      <c r="C43" s="13" t="s">
        <v>21</v>
      </c>
      <c r="D43" s="11">
        <f>+((2.001*28/100)/3)*1000000</f>
        <v>186760</v>
      </c>
      <c r="E43" s="33">
        <v>119350</v>
      </c>
      <c r="F43" s="33">
        <v>119350</v>
      </c>
      <c r="G43" s="13"/>
      <c r="H43" s="12">
        <v>135276.81</v>
      </c>
      <c r="I43" s="12">
        <v>22361.71</v>
      </c>
      <c r="J43" s="12">
        <v>0</v>
      </c>
      <c r="K43" s="12">
        <v>18835.759999999998</v>
      </c>
      <c r="L43" s="12">
        <v>0</v>
      </c>
      <c r="M43" s="12">
        <v>0</v>
      </c>
      <c r="N43" s="12">
        <v>3525.95</v>
      </c>
      <c r="O43" s="12">
        <v>0</v>
      </c>
      <c r="P43" s="13"/>
    </row>
    <row r="44" spans="2:16">
      <c r="B44" s="32"/>
      <c r="C44" s="13" t="s">
        <v>22</v>
      </c>
      <c r="D44" s="12">
        <v>0</v>
      </c>
      <c r="E44" s="12">
        <f>31*3850</f>
        <v>119350</v>
      </c>
      <c r="F44" s="12">
        <f>31*3850</f>
        <v>119350</v>
      </c>
      <c r="G44" s="13"/>
      <c r="H44" s="12">
        <v>36260.89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3"/>
    </row>
    <row r="45" spans="2:16" s="28" customFormat="1">
      <c r="B45" s="29"/>
      <c r="D45" s="27"/>
      <c r="E45" s="27"/>
      <c r="F45" s="27"/>
      <c r="H45" s="27"/>
      <c r="I45" s="27"/>
      <c r="J45" s="27"/>
      <c r="K45" s="27"/>
      <c r="L45" s="27"/>
      <c r="M45" s="27"/>
      <c r="N45" s="27"/>
      <c r="O45" s="27"/>
    </row>
    <row r="46" spans="2:16" s="28" customFormat="1">
      <c r="B46" s="29"/>
      <c r="D46" s="27"/>
      <c r="E46" s="27"/>
      <c r="F46" s="27"/>
      <c r="H46" s="27"/>
      <c r="I46" s="27"/>
      <c r="J46" s="27"/>
      <c r="K46" s="27"/>
      <c r="L46" s="27"/>
      <c r="M46" s="27"/>
      <c r="N46" s="27"/>
      <c r="O46" s="27"/>
    </row>
    <row r="47" spans="2:16" ht="83.25" customHeight="1">
      <c r="B47" s="44" t="s">
        <v>3</v>
      </c>
      <c r="C47" s="43" t="s">
        <v>4</v>
      </c>
      <c r="D47" s="35" t="s">
        <v>5</v>
      </c>
      <c r="E47" s="35" t="s">
        <v>6</v>
      </c>
      <c r="F47" s="35" t="s">
        <v>7</v>
      </c>
      <c r="G47" s="35" t="s">
        <v>8</v>
      </c>
      <c r="H47" s="36" t="s">
        <v>9</v>
      </c>
      <c r="I47" s="36" t="s">
        <v>10</v>
      </c>
      <c r="J47" s="36" t="s">
        <v>11</v>
      </c>
      <c r="K47" s="36" t="s">
        <v>12</v>
      </c>
      <c r="L47" s="36" t="s">
        <v>13</v>
      </c>
      <c r="M47" s="36" t="s">
        <v>14</v>
      </c>
      <c r="N47" s="36" t="s">
        <v>15</v>
      </c>
      <c r="O47" s="36" t="s">
        <v>16</v>
      </c>
      <c r="P47" s="36" t="s">
        <v>17</v>
      </c>
    </row>
    <row r="48" spans="2:16" ht="15.75">
      <c r="B48" s="37">
        <v>45017</v>
      </c>
      <c r="C48" s="21" t="s">
        <v>19</v>
      </c>
      <c r="D48" s="16">
        <f>+((1.432*25/100)/3)*1000000</f>
        <v>119333.33333333333</v>
      </c>
      <c r="E48" s="38">
        <f>2*30*3850+180000+15000</f>
        <v>426000</v>
      </c>
      <c r="F48" s="38">
        <f>2*30*3850+180000+15000</f>
        <v>426000</v>
      </c>
      <c r="G48" s="39"/>
      <c r="H48" s="40">
        <v>190536.58</v>
      </c>
      <c r="I48" s="41">
        <v>3850.88</v>
      </c>
      <c r="J48" s="40">
        <v>0</v>
      </c>
      <c r="K48" s="40">
        <v>0</v>
      </c>
      <c r="L48" s="40">
        <v>0</v>
      </c>
      <c r="M48" s="40">
        <v>0</v>
      </c>
      <c r="N48" s="40">
        <v>3850.88</v>
      </c>
      <c r="O48" s="40">
        <v>0</v>
      </c>
      <c r="P48" s="42"/>
    </row>
    <row r="49" spans="2:16" ht="15.75">
      <c r="B49" s="23"/>
      <c r="C49" s="5" t="s">
        <v>20</v>
      </c>
      <c r="D49" s="8">
        <f>+((3.879*25/100)/3)*1000000</f>
        <v>323250</v>
      </c>
      <c r="E49" s="7">
        <v>594160</v>
      </c>
      <c r="F49" s="7">
        <v>594160</v>
      </c>
      <c r="G49" s="14"/>
      <c r="H49" s="12">
        <v>159984.01</v>
      </c>
      <c r="I49" s="12">
        <v>25819.93</v>
      </c>
      <c r="J49" s="12">
        <v>3878.7</v>
      </c>
      <c r="K49" s="12">
        <v>18195.72</v>
      </c>
      <c r="L49" s="12">
        <v>0</v>
      </c>
      <c r="M49" s="12">
        <v>0</v>
      </c>
      <c r="N49" s="12">
        <v>3745.51</v>
      </c>
      <c r="O49" s="12">
        <v>0</v>
      </c>
      <c r="P49" s="17"/>
    </row>
    <row r="50" spans="2:16" ht="15.75">
      <c r="B50" s="23"/>
      <c r="C50" s="5" t="s">
        <v>21</v>
      </c>
      <c r="D50" s="8">
        <f>+((2.001*25/100)/3)*1000000</f>
        <v>166749.99999999997</v>
      </c>
      <c r="E50" s="7">
        <v>115550</v>
      </c>
      <c r="F50" s="7">
        <v>115550</v>
      </c>
      <c r="G50" s="14"/>
      <c r="H50" s="12">
        <v>155583.21</v>
      </c>
      <c r="I50" s="12">
        <v>50339.64</v>
      </c>
      <c r="J50" s="12">
        <v>15943.25</v>
      </c>
      <c r="K50" s="26">
        <v>18288.34</v>
      </c>
      <c r="L50" s="26">
        <v>16108.05</v>
      </c>
      <c r="M50" s="26">
        <v>0</v>
      </c>
      <c r="N50" s="26">
        <v>0</v>
      </c>
      <c r="O50" s="26">
        <v>0</v>
      </c>
      <c r="P50" s="17"/>
    </row>
    <row r="51" spans="2:16" ht="15.75">
      <c r="B51" s="23">
        <v>45047</v>
      </c>
      <c r="C51" s="5" t="s">
        <v>19</v>
      </c>
      <c r="D51" s="8">
        <f>+((1.432*25/100)/3)*1000000</f>
        <v>119333.33333333333</v>
      </c>
      <c r="E51" s="6">
        <f>186000+15500</f>
        <v>201500</v>
      </c>
      <c r="F51" s="6">
        <f>186000+15500</f>
        <v>201500</v>
      </c>
      <c r="G51" s="14"/>
      <c r="H51" s="12">
        <v>174896.39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7"/>
    </row>
    <row r="52" spans="2:16" ht="15.75">
      <c r="B52" s="23"/>
      <c r="C52" s="5" t="s">
        <v>20</v>
      </c>
      <c r="D52" s="8">
        <f>+((3.879*25/100)/3)*1000000</f>
        <v>323250</v>
      </c>
      <c r="E52" s="6">
        <f>119350+155160+92340</f>
        <v>366850</v>
      </c>
      <c r="F52" s="6">
        <f>119350+155160+92340</f>
        <v>366850</v>
      </c>
      <c r="G52" s="14"/>
      <c r="H52" s="12">
        <v>263369.89</v>
      </c>
      <c r="I52" s="12">
        <v>109867.35</v>
      </c>
      <c r="J52" s="26">
        <v>53402.57</v>
      </c>
      <c r="K52" s="26">
        <v>37841.68</v>
      </c>
      <c r="L52" s="12">
        <v>0</v>
      </c>
      <c r="M52" s="26">
        <v>3993.2</v>
      </c>
      <c r="N52" s="26">
        <v>14629.9</v>
      </c>
      <c r="O52" s="12">
        <v>0</v>
      </c>
      <c r="P52" s="17"/>
    </row>
    <row r="53" spans="2:16" ht="15.75">
      <c r="B53" s="23"/>
      <c r="C53" s="5" t="s">
        <v>21</v>
      </c>
      <c r="D53" s="8">
        <f>+((2.001*25/100)/3)*1000000</f>
        <v>166749.99999999997</v>
      </c>
      <c r="E53" s="6">
        <v>0</v>
      </c>
      <c r="F53" s="6">
        <v>0</v>
      </c>
      <c r="G53" s="14"/>
      <c r="H53" s="12">
        <v>152072.16</v>
      </c>
      <c r="I53" s="26">
        <v>64607.519999999997</v>
      </c>
      <c r="J53" s="26">
        <v>7864.62</v>
      </c>
      <c r="K53" s="26">
        <v>56742.9</v>
      </c>
      <c r="L53" s="12">
        <v>0</v>
      </c>
      <c r="M53" s="12">
        <v>0</v>
      </c>
      <c r="N53" s="12">
        <v>0</v>
      </c>
      <c r="O53" s="12">
        <v>0</v>
      </c>
      <c r="P53" s="17"/>
    </row>
    <row r="54" spans="2:16" ht="15.75">
      <c r="B54" s="23">
        <v>45078</v>
      </c>
      <c r="C54" s="5" t="s">
        <v>19</v>
      </c>
      <c r="D54" s="8">
        <f>+((1.432*25/100)/3)*1000000</f>
        <v>119333.33333333333</v>
      </c>
      <c r="E54" s="6">
        <f>180000+15000</f>
        <v>195000</v>
      </c>
      <c r="F54" s="6">
        <f>180000+15000</f>
        <v>195000</v>
      </c>
      <c r="G54" s="14"/>
      <c r="H54" s="12">
        <v>142970.29999999999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7"/>
    </row>
    <row r="55" spans="2:16" ht="15.75">
      <c r="B55" s="23"/>
      <c r="C55" s="5" t="s">
        <v>20</v>
      </c>
      <c r="D55" s="8">
        <f>+((3.879*25/100)/3)*1000000</f>
        <v>323250</v>
      </c>
      <c r="E55" s="6">
        <f>231000+25000</f>
        <v>256000</v>
      </c>
      <c r="F55" s="6">
        <f>231000+25000</f>
        <v>256000</v>
      </c>
      <c r="G55" s="14"/>
      <c r="H55" s="12">
        <v>201445.76000000001</v>
      </c>
      <c r="I55" s="12">
        <v>92314.68</v>
      </c>
      <c r="J55" s="12">
        <v>54126.36</v>
      </c>
      <c r="K55" s="26">
        <v>14481.47</v>
      </c>
      <c r="L55" s="26">
        <v>3727.47</v>
      </c>
      <c r="M55" s="12">
        <v>0</v>
      </c>
      <c r="N55" s="26">
        <v>19979.38</v>
      </c>
      <c r="O55" s="12">
        <v>0</v>
      </c>
      <c r="P55" s="17"/>
    </row>
    <row r="56" spans="2:16" ht="15.75">
      <c r="B56" s="23"/>
      <c r="C56" s="5" t="s">
        <v>21</v>
      </c>
      <c r="D56" s="8">
        <f>+((2.001*25/100)/3)*1000000</f>
        <v>166749.99999999997</v>
      </c>
      <c r="E56" s="6">
        <v>115500</v>
      </c>
      <c r="F56" s="6">
        <v>115500</v>
      </c>
      <c r="G56" s="14"/>
      <c r="H56" s="12">
        <v>239134.61</v>
      </c>
      <c r="I56" s="12">
        <v>132632.32000000001</v>
      </c>
      <c r="J56" s="26">
        <v>59837.23</v>
      </c>
      <c r="K56" s="26">
        <v>65039.15</v>
      </c>
      <c r="L56" s="26">
        <v>3735.64</v>
      </c>
      <c r="M56" s="12">
        <v>0</v>
      </c>
      <c r="N56" s="12">
        <v>4020.3</v>
      </c>
      <c r="O56" s="12">
        <v>0</v>
      </c>
      <c r="P56" s="17"/>
    </row>
    <row r="57" spans="2:16" ht="15.75">
      <c r="B57" s="23">
        <v>45108</v>
      </c>
      <c r="C57" s="5" t="s">
        <v>19</v>
      </c>
      <c r="D57" s="8">
        <f>+((1.432*22/100)/3)*1000000</f>
        <v>105013.33333333333</v>
      </c>
      <c r="E57" s="7">
        <f>186000+15500</f>
        <v>201500</v>
      </c>
      <c r="F57" s="7">
        <f>186000+15500</f>
        <v>201500</v>
      </c>
      <c r="G57" s="25"/>
      <c r="H57" s="12">
        <v>155634.23000000001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7"/>
    </row>
    <row r="58" spans="2:16" ht="15.75">
      <c r="B58" s="23"/>
      <c r="C58" s="5" t="s">
        <v>20</v>
      </c>
      <c r="D58" s="8">
        <f>+((3.879*22/100)/3)*1000000</f>
        <v>284460</v>
      </c>
      <c r="E58" s="7">
        <f>358050+16000+136541</f>
        <v>510591</v>
      </c>
      <c r="F58" s="7">
        <f>358050+16000+136541</f>
        <v>510591</v>
      </c>
      <c r="G58" s="14"/>
      <c r="H58" s="12">
        <v>174076.07</v>
      </c>
      <c r="I58" s="12">
        <v>86630.33</v>
      </c>
      <c r="J58" s="12">
        <v>7725.37</v>
      </c>
      <c r="K58" s="12">
        <v>63993.07</v>
      </c>
      <c r="L58" s="12">
        <v>0</v>
      </c>
      <c r="M58" s="12">
        <v>0</v>
      </c>
      <c r="N58" s="12">
        <v>14911.89</v>
      </c>
      <c r="O58" s="12">
        <v>0</v>
      </c>
      <c r="P58" s="17"/>
    </row>
    <row r="59" spans="2:16" ht="15.75">
      <c r="B59" s="23"/>
      <c r="C59" s="5" t="s">
        <v>21</v>
      </c>
      <c r="D59" s="8">
        <f>+((2.001*22/100)/3)*1000000</f>
        <v>146740</v>
      </c>
      <c r="E59" s="7">
        <v>238700</v>
      </c>
      <c r="F59" s="7">
        <v>238700</v>
      </c>
      <c r="G59" s="14"/>
      <c r="H59" s="12">
        <v>211911.31</v>
      </c>
      <c r="I59" s="12">
        <v>72248.95</v>
      </c>
      <c r="J59" s="12">
        <v>4026.46</v>
      </c>
      <c r="K59" s="12">
        <v>60527.19</v>
      </c>
      <c r="L59" s="12">
        <v>0</v>
      </c>
      <c r="M59" s="12">
        <v>0</v>
      </c>
      <c r="N59" s="12">
        <v>7695.3</v>
      </c>
      <c r="O59" s="12">
        <v>0</v>
      </c>
      <c r="P59" s="17"/>
    </row>
    <row r="60" spans="2:16" ht="15.75">
      <c r="B60" s="23">
        <v>45139</v>
      </c>
      <c r="C60" s="5" t="s">
        <v>19</v>
      </c>
      <c r="D60" s="8">
        <f>+((1.432*22/100)/3)*1000000</f>
        <v>105013.33333333333</v>
      </c>
      <c r="E60" s="6">
        <f>2*31*3850+186000+15500</f>
        <v>440200</v>
      </c>
      <c r="F60" s="6">
        <f>2*31*3850+186000+15500</f>
        <v>440200</v>
      </c>
      <c r="G60" s="14"/>
      <c r="H60" s="12">
        <v>171782.02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7"/>
    </row>
    <row r="61" spans="2:16" ht="15.75">
      <c r="B61" s="23"/>
      <c r="C61" s="5" t="s">
        <v>20</v>
      </c>
      <c r="D61" s="8">
        <f>+((3.879*22/100)/3)*1000000</f>
        <v>284460</v>
      </c>
      <c r="E61" s="6">
        <v>358050</v>
      </c>
      <c r="F61" s="6">
        <v>358050</v>
      </c>
      <c r="G61" s="14"/>
      <c r="H61" s="12">
        <v>214102.62</v>
      </c>
      <c r="I61" s="12">
        <v>86070.9</v>
      </c>
      <c r="J61" s="26">
        <v>20329.310000000001</v>
      </c>
      <c r="K61" s="12">
        <v>58217.06</v>
      </c>
      <c r="L61" s="12">
        <v>0</v>
      </c>
      <c r="M61" s="12">
        <v>0</v>
      </c>
      <c r="N61" s="12">
        <v>7524.53</v>
      </c>
      <c r="O61" s="12">
        <v>0</v>
      </c>
      <c r="P61" s="17"/>
    </row>
    <row r="62" spans="2:16" ht="15.75">
      <c r="B62" s="23"/>
      <c r="C62" s="5" t="s">
        <v>21</v>
      </c>
      <c r="D62" s="8">
        <f>+((2.001*22/100)/3)*1000000</f>
        <v>146740</v>
      </c>
      <c r="E62" s="6">
        <v>238700</v>
      </c>
      <c r="F62" s="6">
        <v>238700</v>
      </c>
      <c r="G62" s="14"/>
      <c r="H62" s="12">
        <v>212286.35</v>
      </c>
      <c r="I62" s="12">
        <v>59512.7</v>
      </c>
      <c r="J62" s="12">
        <v>7881.8</v>
      </c>
      <c r="K62" s="12">
        <v>23731.78</v>
      </c>
      <c r="L62" s="12">
        <v>0</v>
      </c>
      <c r="M62" s="12">
        <v>0</v>
      </c>
      <c r="N62" s="12">
        <v>27899.119999999999</v>
      </c>
      <c r="O62" s="12">
        <v>0</v>
      </c>
      <c r="P62" s="17"/>
    </row>
    <row r="63" spans="2:16" ht="15.75">
      <c r="B63" s="23">
        <v>45170</v>
      </c>
      <c r="C63" s="5" t="s">
        <v>19</v>
      </c>
      <c r="D63" s="8">
        <f>+((1.432*22/100)/3)*1000000</f>
        <v>105013.33333333333</v>
      </c>
      <c r="E63" s="6">
        <f>180000+15000</f>
        <v>195000</v>
      </c>
      <c r="F63" s="6">
        <f>180000+15000</f>
        <v>195000</v>
      </c>
      <c r="G63" s="14"/>
      <c r="H63" s="12">
        <v>176758.12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7"/>
    </row>
    <row r="64" spans="2:16" ht="15.75">
      <c r="B64" s="23"/>
      <c r="C64" s="5" t="s">
        <v>20</v>
      </c>
      <c r="D64" s="8">
        <f>+((3.879*22/100)/3)*1000000</f>
        <v>284460</v>
      </c>
      <c r="E64" s="6">
        <f>346500+115500</f>
        <v>462000</v>
      </c>
      <c r="F64" s="6">
        <f>346500+115500</f>
        <v>462000</v>
      </c>
      <c r="G64" s="14"/>
      <c r="H64" s="12">
        <v>231458.97</v>
      </c>
      <c r="I64" s="12">
        <v>84739.15</v>
      </c>
      <c r="J64" s="12">
        <v>23796.04</v>
      </c>
      <c r="K64" s="12">
        <v>37942.71</v>
      </c>
      <c r="L64" s="12">
        <v>0</v>
      </c>
      <c r="M64" s="12">
        <v>0</v>
      </c>
      <c r="N64" s="12">
        <v>23000.400000000001</v>
      </c>
      <c r="O64" s="12">
        <v>0</v>
      </c>
      <c r="P64" s="17"/>
    </row>
    <row r="65" spans="2:16" ht="15.75">
      <c r="B65" s="23"/>
      <c r="C65" s="5" t="s">
        <v>21</v>
      </c>
      <c r="D65" s="8">
        <f>+((2.001*22/100)/3)*1000000</f>
        <v>146740</v>
      </c>
      <c r="E65" s="6">
        <v>173250</v>
      </c>
      <c r="F65" s="6">
        <v>173250</v>
      </c>
      <c r="G65" s="14"/>
      <c r="H65" s="12">
        <v>209028.46</v>
      </c>
      <c r="I65" s="12">
        <v>67911.350000000006</v>
      </c>
      <c r="J65" s="12">
        <v>11856.74</v>
      </c>
      <c r="K65" s="12">
        <v>27925.919999999998</v>
      </c>
      <c r="L65" s="12">
        <v>0</v>
      </c>
      <c r="M65" s="12">
        <v>0</v>
      </c>
      <c r="N65" s="12">
        <v>28128.69</v>
      </c>
      <c r="O65" s="12">
        <v>0</v>
      </c>
      <c r="P65" s="17"/>
    </row>
    <row r="66" spans="2:16" ht="15.75">
      <c r="B66" s="23">
        <v>45200</v>
      </c>
      <c r="C66" s="5" t="s">
        <v>19</v>
      </c>
      <c r="D66" s="8">
        <f>+((1.432*25/100)/3)*1000000</f>
        <v>119333.33333333333</v>
      </c>
      <c r="E66" s="6">
        <f>186000+15500</f>
        <v>201500</v>
      </c>
      <c r="F66" s="6">
        <f>186000+15500</f>
        <v>201500</v>
      </c>
      <c r="G66" s="14"/>
      <c r="H66" s="12">
        <v>253831.3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7"/>
    </row>
    <row r="67" spans="2:16" ht="15.75">
      <c r="B67" s="23"/>
      <c r="C67" s="5" t="s">
        <v>20</v>
      </c>
      <c r="D67" s="8">
        <f>+((3.879*25/100)/3)*1000000</f>
        <v>323250</v>
      </c>
      <c r="E67" s="6">
        <f>358050+160000</f>
        <v>518050</v>
      </c>
      <c r="F67" s="6">
        <f>358050+160000</f>
        <v>518050</v>
      </c>
      <c r="G67" s="14"/>
      <c r="H67" s="12">
        <v>354614.98</v>
      </c>
      <c r="I67" s="12">
        <v>194619.41</v>
      </c>
      <c r="J67" s="12">
        <v>70338.38</v>
      </c>
      <c r="K67" s="12">
        <v>94234.37</v>
      </c>
      <c r="L67" s="12">
        <v>0</v>
      </c>
      <c r="M67" s="12">
        <v>0</v>
      </c>
      <c r="N67" s="12">
        <v>30046.66</v>
      </c>
      <c r="O67" s="12">
        <v>0</v>
      </c>
      <c r="P67" s="17"/>
    </row>
    <row r="68" spans="2:16" ht="15.75">
      <c r="B68" s="23"/>
      <c r="C68" s="5" t="s">
        <v>21</v>
      </c>
      <c r="D68" s="8">
        <f>+((2.001*25/100)/3)*1000000</f>
        <v>166749.99999999997</v>
      </c>
      <c r="E68" s="6">
        <v>238700</v>
      </c>
      <c r="F68" s="6">
        <v>238700</v>
      </c>
      <c r="G68" s="14"/>
      <c r="H68" s="12">
        <v>350565.17</v>
      </c>
      <c r="I68" s="12">
        <v>207482.86</v>
      </c>
      <c r="J68" s="12">
        <v>60911.66</v>
      </c>
      <c r="K68" s="12">
        <v>74476.53</v>
      </c>
      <c r="L68" s="12">
        <v>0</v>
      </c>
      <c r="M68" s="12">
        <v>0</v>
      </c>
      <c r="N68" s="12">
        <v>72094.67</v>
      </c>
      <c r="O68" s="12">
        <v>0</v>
      </c>
      <c r="P68" s="17"/>
    </row>
    <row r="69" spans="2:16" ht="15.75">
      <c r="B69" s="23">
        <v>45231</v>
      </c>
      <c r="C69" s="5" t="s">
        <v>19</v>
      </c>
      <c r="D69" s="8">
        <f>+((1.432*25/100)/3)*1000000</f>
        <v>119333.33333333333</v>
      </c>
      <c r="E69" s="6">
        <f>180000+15000</f>
        <v>195000</v>
      </c>
      <c r="F69" s="6">
        <f>180000+15000</f>
        <v>195000</v>
      </c>
      <c r="G69" s="14"/>
      <c r="H69" s="12">
        <v>248156.58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7"/>
    </row>
    <row r="70" spans="2:16" ht="15.75">
      <c r="B70" s="23"/>
      <c r="C70" s="5" t="s">
        <v>20</v>
      </c>
      <c r="D70" s="8">
        <f>+((3.879*25/100)/3)*1000000</f>
        <v>323250</v>
      </c>
      <c r="E70" s="6">
        <f>346500+156000+104000</f>
        <v>606500</v>
      </c>
      <c r="F70" s="6">
        <f>346500+156000+104000</f>
        <v>606500</v>
      </c>
      <c r="G70" s="14"/>
      <c r="H70" s="12">
        <v>341741.93</v>
      </c>
      <c r="I70" s="12">
        <v>154318.63</v>
      </c>
      <c r="J70" s="12">
        <v>61070.02</v>
      </c>
      <c r="K70" s="12">
        <v>67194.55</v>
      </c>
      <c r="L70" s="12">
        <v>0</v>
      </c>
      <c r="M70" s="12">
        <v>0</v>
      </c>
      <c r="N70" s="12">
        <v>26054.06</v>
      </c>
      <c r="O70" s="12">
        <v>0</v>
      </c>
      <c r="P70" s="17"/>
    </row>
    <row r="71" spans="2:16" ht="15.75">
      <c r="B71" s="23"/>
      <c r="C71" s="5" t="s">
        <v>21</v>
      </c>
      <c r="D71" s="8">
        <f>+((2.001*25/100)/3)*1000000</f>
        <v>166749.99999999997</v>
      </c>
      <c r="E71" s="6">
        <v>346500</v>
      </c>
      <c r="F71" s="6">
        <v>346500</v>
      </c>
      <c r="G71" s="14"/>
      <c r="H71" s="12">
        <v>288354.21999999997</v>
      </c>
      <c r="I71" s="12">
        <v>152518.97</v>
      </c>
      <c r="J71" s="12">
        <v>28473.11</v>
      </c>
      <c r="K71" s="12">
        <v>34979.550000000003</v>
      </c>
      <c r="L71" s="12">
        <v>0</v>
      </c>
      <c r="M71" s="12">
        <v>0</v>
      </c>
      <c r="N71" s="12">
        <v>89066.31</v>
      </c>
      <c r="O71" s="12">
        <v>0</v>
      </c>
      <c r="P71" s="17"/>
    </row>
    <row r="72" spans="2:16" ht="15.75">
      <c r="B72" s="23">
        <v>45261</v>
      </c>
      <c r="C72" s="5" t="s">
        <v>19</v>
      </c>
      <c r="D72" s="8">
        <f>+((1.432*25/100)/3)*1000000</f>
        <v>119333.33333333333</v>
      </c>
      <c r="E72" s="6">
        <f>1*31*3850+186000+15500</f>
        <v>320850</v>
      </c>
      <c r="F72" s="6">
        <f>1*31*3850+186000+15500</f>
        <v>320850</v>
      </c>
      <c r="G72" s="14"/>
      <c r="H72" s="12">
        <v>300192.76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7"/>
    </row>
    <row r="73" spans="2:16" ht="15.75">
      <c r="B73" s="23"/>
      <c r="C73" s="5" t="s">
        <v>20</v>
      </c>
      <c r="D73" s="8">
        <f>+((3.879*25/100)/3)*1000000</f>
        <v>323250</v>
      </c>
      <c r="E73" s="6">
        <f>358050+155000</f>
        <v>513050</v>
      </c>
      <c r="F73" s="6">
        <f>358050+155000</f>
        <v>513050</v>
      </c>
      <c r="G73" s="14"/>
      <c r="H73" s="12">
        <v>312026.34999999998</v>
      </c>
      <c r="I73" s="12">
        <v>157474.07</v>
      </c>
      <c r="J73" s="12">
        <v>122200.39</v>
      </c>
      <c r="K73" s="12">
        <v>20014.63</v>
      </c>
      <c r="L73" s="12">
        <v>0</v>
      </c>
      <c r="M73" s="12">
        <v>0</v>
      </c>
      <c r="N73" s="12">
        <v>15259.05</v>
      </c>
      <c r="O73" s="12">
        <v>0</v>
      </c>
      <c r="P73" s="17"/>
    </row>
    <row r="74" spans="2:16" ht="15.75">
      <c r="B74" s="23"/>
      <c r="C74" s="5" t="s">
        <v>21</v>
      </c>
      <c r="D74" s="8">
        <f>+((2.001*25/100)/3)*1000000</f>
        <v>166749.99999999997</v>
      </c>
      <c r="E74" s="6">
        <v>119350</v>
      </c>
      <c r="F74" s="6">
        <v>119350</v>
      </c>
      <c r="G74" s="14"/>
      <c r="H74" s="12">
        <v>359816.84</v>
      </c>
      <c r="I74" s="12">
        <v>196733.96</v>
      </c>
      <c r="J74" s="12">
        <v>56253.32</v>
      </c>
      <c r="K74" s="12">
        <v>24046.81</v>
      </c>
      <c r="L74" s="12">
        <v>0</v>
      </c>
      <c r="M74" s="12">
        <v>0</v>
      </c>
      <c r="N74" s="12">
        <v>116433.83</v>
      </c>
      <c r="O74" s="12">
        <v>0</v>
      </c>
      <c r="P74" s="17"/>
    </row>
    <row r="75" spans="2:16" ht="15.75">
      <c r="B75" s="23">
        <v>45292</v>
      </c>
      <c r="C75" s="5" t="s">
        <v>19</v>
      </c>
      <c r="D75" s="8">
        <f>+((1.432*28/100)/3)*1000000</f>
        <v>133653.33333333331</v>
      </c>
      <c r="E75" s="6">
        <f>1*31*3850+186000+15500</f>
        <v>320850</v>
      </c>
      <c r="F75" s="6">
        <f>1*31*3850+186000+15500</f>
        <v>320850</v>
      </c>
      <c r="G75" s="14"/>
      <c r="H75" s="12">
        <v>265532.09999999998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7"/>
    </row>
    <row r="76" spans="2:16" ht="15.75">
      <c r="B76" s="23"/>
      <c r="C76" s="5" t="s">
        <v>20</v>
      </c>
      <c r="D76" s="8">
        <f>+((3.879*28/100)/3)*1000000</f>
        <v>362040</v>
      </c>
      <c r="E76" s="6">
        <f>358050+174000+116000</f>
        <v>648050</v>
      </c>
      <c r="F76" s="6">
        <f>358050+174000+116000</f>
        <v>648050</v>
      </c>
      <c r="G76" s="14"/>
      <c r="H76" s="12">
        <v>251599.6</v>
      </c>
      <c r="I76" s="12">
        <v>105380.56</v>
      </c>
      <c r="J76" s="12">
        <v>82828.98</v>
      </c>
      <c r="K76" s="12">
        <v>7427.42</v>
      </c>
      <c r="L76" s="12">
        <v>0</v>
      </c>
      <c r="M76" s="12">
        <v>0</v>
      </c>
      <c r="N76" s="12">
        <v>15124.16</v>
      </c>
      <c r="O76" s="12">
        <v>0</v>
      </c>
      <c r="P76" s="17"/>
    </row>
    <row r="77" spans="2:16" ht="15.75">
      <c r="B77" s="23"/>
      <c r="C77" s="5" t="s">
        <v>21</v>
      </c>
      <c r="D77" s="8">
        <f>+((2.001*28/100)/3)*1000000</f>
        <v>186760</v>
      </c>
      <c r="E77" s="6">
        <v>119350</v>
      </c>
      <c r="F77" s="6">
        <v>119350</v>
      </c>
      <c r="G77" s="14"/>
      <c r="H77" s="12">
        <v>313413.87</v>
      </c>
      <c r="I77" s="12">
        <v>168539.04</v>
      </c>
      <c r="J77" s="12">
        <v>68416.52</v>
      </c>
      <c r="K77" s="12">
        <v>27669.4</v>
      </c>
      <c r="L77" s="12">
        <v>3946.29</v>
      </c>
      <c r="M77" s="12">
        <v>0</v>
      </c>
      <c r="N77" s="12">
        <v>68506.83</v>
      </c>
      <c r="O77" s="12">
        <v>0</v>
      </c>
      <c r="P77" s="17"/>
    </row>
    <row r="78" spans="2:16" ht="15.75">
      <c r="B78" s="23">
        <v>45323</v>
      </c>
      <c r="C78" s="5" t="s">
        <v>19</v>
      </c>
      <c r="D78" s="8">
        <f>+((1.432*28/100)/3)*1000000</f>
        <v>133653.33333333331</v>
      </c>
      <c r="E78" s="6">
        <f>1*29*3850+174000+14500</f>
        <v>300150</v>
      </c>
      <c r="F78" s="6">
        <f>1*29*3850+174000+14500</f>
        <v>300150</v>
      </c>
      <c r="G78" s="14"/>
      <c r="H78" s="12">
        <v>242778.77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7"/>
    </row>
    <row r="79" spans="2:16" ht="15.75">
      <c r="B79" s="23"/>
      <c r="C79" s="5" t="s">
        <v>20</v>
      </c>
      <c r="D79" s="8">
        <f>+((3.879*28/100)/3)*1000000</f>
        <v>362040</v>
      </c>
      <c r="E79" s="6">
        <f>334950+155000</f>
        <v>489950</v>
      </c>
      <c r="F79" s="6">
        <f>334950+155000</f>
        <v>489950</v>
      </c>
      <c r="G79" s="14"/>
      <c r="H79" s="12">
        <v>200597.74</v>
      </c>
      <c r="I79" s="12">
        <v>113786.51</v>
      </c>
      <c r="J79" s="12">
        <v>94942.84</v>
      </c>
      <c r="K79" s="12">
        <v>15350.75</v>
      </c>
      <c r="L79" s="12">
        <v>0</v>
      </c>
      <c r="M79" s="12">
        <v>0</v>
      </c>
      <c r="N79" s="12">
        <v>3492.92</v>
      </c>
      <c r="O79" s="12">
        <v>0</v>
      </c>
      <c r="P79" s="17"/>
    </row>
    <row r="80" spans="2:16" ht="15.75">
      <c r="B80" s="23"/>
      <c r="C80" s="5" t="s">
        <v>21</v>
      </c>
      <c r="D80" s="8">
        <f>+((2.001*28/100)/3)*1000000</f>
        <v>186760</v>
      </c>
      <c r="E80" s="6">
        <v>111650</v>
      </c>
      <c r="F80" s="6">
        <v>111650</v>
      </c>
      <c r="G80" s="14"/>
      <c r="H80" s="12">
        <v>371696.51</v>
      </c>
      <c r="I80" s="12">
        <v>153284.34</v>
      </c>
      <c r="J80" s="12">
        <v>34508.78</v>
      </c>
      <c r="K80" s="12">
        <v>19534.919999999998</v>
      </c>
      <c r="L80" s="12">
        <v>3599.86</v>
      </c>
      <c r="M80" s="12">
        <v>0</v>
      </c>
      <c r="N80" s="12">
        <v>95640.78</v>
      </c>
      <c r="O80" s="12">
        <v>0</v>
      </c>
      <c r="P80" s="17"/>
    </row>
    <row r="81" spans="2:16" ht="15.75">
      <c r="B81" s="23">
        <v>45352</v>
      </c>
      <c r="C81" s="5" t="s">
        <v>19</v>
      </c>
      <c r="D81" s="8">
        <f>+((1.432*28/100)/3)*1000000</f>
        <v>133653.33333333331</v>
      </c>
      <c r="E81" s="6">
        <f>1*31*3850+186000+15500+90000</f>
        <v>410850</v>
      </c>
      <c r="F81" s="6">
        <f>1*31*3850+186000+15500+90000</f>
        <v>410850</v>
      </c>
      <c r="G81" s="14"/>
      <c r="H81" s="12">
        <v>255758.07999999999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7"/>
    </row>
    <row r="82" spans="2:16" ht="15.75">
      <c r="B82" s="23"/>
      <c r="C82" s="5" t="s">
        <v>20</v>
      </c>
      <c r="D82" s="8">
        <f>+((3.879*28/100)/3)*1000000</f>
        <v>362040</v>
      </c>
      <c r="E82" s="6">
        <f>358050+155000+54000</f>
        <v>567050</v>
      </c>
      <c r="F82" s="6">
        <f>358050+155000+54000</f>
        <v>567050</v>
      </c>
      <c r="G82" s="14"/>
      <c r="H82" s="12">
        <v>299745.19</v>
      </c>
      <c r="I82" s="12">
        <v>143422.32999999999</v>
      </c>
      <c r="J82" s="12">
        <v>27316.87</v>
      </c>
      <c r="K82" s="12">
        <v>74544.61</v>
      </c>
      <c r="L82" s="12">
        <v>0</v>
      </c>
      <c r="M82" s="12">
        <v>7886.43</v>
      </c>
      <c r="N82" s="12">
        <v>33674.42</v>
      </c>
      <c r="O82" s="12">
        <v>0</v>
      </c>
      <c r="P82" s="17"/>
    </row>
    <row r="83" spans="2:16" ht="15.75">
      <c r="B83" s="23"/>
      <c r="C83" s="5" t="s">
        <v>21</v>
      </c>
      <c r="D83" s="8">
        <f>+((2.001*28/100)/3)*1000000</f>
        <v>186760</v>
      </c>
      <c r="E83" s="6">
        <v>119350</v>
      </c>
      <c r="F83" s="6">
        <v>119350</v>
      </c>
      <c r="G83" s="14"/>
      <c r="H83" s="12">
        <v>182892.1</v>
      </c>
      <c r="I83" s="12">
        <v>86967.02</v>
      </c>
      <c r="J83" s="12">
        <v>24296.26</v>
      </c>
      <c r="K83" s="12">
        <v>30749.51</v>
      </c>
      <c r="L83" s="12">
        <v>0</v>
      </c>
      <c r="M83" s="12">
        <v>0</v>
      </c>
      <c r="N83" s="12">
        <v>31921.25</v>
      </c>
      <c r="O83" s="12">
        <v>0</v>
      </c>
      <c r="P83" s="17"/>
    </row>
    <row r="84" spans="2:16" s="28" customFormat="1">
      <c r="B84" s="29"/>
      <c r="D84" s="27"/>
      <c r="E84" s="27"/>
      <c r="F84" s="27"/>
      <c r="H84" s="27"/>
      <c r="I84" s="27"/>
      <c r="J84" s="27"/>
      <c r="K84" s="27"/>
      <c r="L84" s="27"/>
      <c r="M84" s="27"/>
      <c r="N84" s="27"/>
      <c r="O84" s="27"/>
    </row>
    <row r="85" spans="2:16" s="28" customFormat="1">
      <c r="B85" s="29"/>
      <c r="D85" s="27"/>
      <c r="E85" s="27"/>
      <c r="F85" s="27"/>
      <c r="H85" s="27"/>
      <c r="I85" s="27"/>
      <c r="J85" s="27"/>
      <c r="K85" s="27"/>
      <c r="L85" s="27"/>
      <c r="M85" s="27"/>
      <c r="N85" s="27"/>
      <c r="O85" s="27"/>
    </row>
    <row r="86" spans="2:16" ht="83.25" customHeight="1">
      <c r="B86" s="44" t="s">
        <v>3</v>
      </c>
      <c r="C86" s="43" t="s">
        <v>4</v>
      </c>
      <c r="D86" s="35" t="s">
        <v>5</v>
      </c>
      <c r="E86" s="35" t="s">
        <v>6</v>
      </c>
      <c r="F86" s="35" t="s">
        <v>7</v>
      </c>
      <c r="G86" s="35" t="s">
        <v>8</v>
      </c>
      <c r="H86" s="36" t="s">
        <v>9</v>
      </c>
      <c r="I86" s="36" t="s">
        <v>10</v>
      </c>
      <c r="J86" s="36" t="s">
        <v>11</v>
      </c>
      <c r="K86" s="36" t="s">
        <v>12</v>
      </c>
      <c r="L86" s="36" t="s">
        <v>13</v>
      </c>
      <c r="M86" s="36" t="s">
        <v>14</v>
      </c>
      <c r="N86" s="36" t="s">
        <v>15</v>
      </c>
      <c r="O86" s="36" t="s">
        <v>16</v>
      </c>
      <c r="P86" s="36" t="s">
        <v>17</v>
      </c>
    </row>
    <row r="87" spans="2:16" ht="15.75">
      <c r="B87" s="23">
        <v>45383</v>
      </c>
      <c r="C87" s="5" t="s">
        <v>19</v>
      </c>
      <c r="D87" s="8">
        <f>+((1.432*25/100)/3)*1000000</f>
        <v>119333.33333333333</v>
      </c>
      <c r="E87" s="6">
        <f>1*3850*30+150000+15000+180000</f>
        <v>460500</v>
      </c>
      <c r="F87" s="6">
        <f>1*3850*30+150000+15000+180000</f>
        <v>460500</v>
      </c>
      <c r="G87" s="14"/>
      <c r="H87" s="12">
        <v>210284.16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7"/>
    </row>
    <row r="88" spans="2:16" ht="15.75">
      <c r="B88" s="23"/>
      <c r="C88" s="5" t="s">
        <v>20</v>
      </c>
      <c r="D88" s="8">
        <f>+((3.879*25/100)/3)*1000000</f>
        <v>323250</v>
      </c>
      <c r="E88" s="6">
        <f>231000+155000+55000</f>
        <v>441000</v>
      </c>
      <c r="F88" s="6">
        <f>231000+155000+55000</f>
        <v>441000</v>
      </c>
      <c r="G88" s="14"/>
      <c r="H88" s="12">
        <v>402471.24</v>
      </c>
      <c r="I88" s="12">
        <v>191561.63</v>
      </c>
      <c r="J88" s="12">
        <v>161497.85999999999</v>
      </c>
      <c r="K88" s="12">
        <v>26259.68</v>
      </c>
      <c r="L88" s="12">
        <v>0</v>
      </c>
      <c r="M88" s="12">
        <v>0</v>
      </c>
      <c r="N88" s="12">
        <v>3804.09</v>
      </c>
      <c r="O88" s="12">
        <v>0</v>
      </c>
      <c r="P88" s="17"/>
    </row>
    <row r="89" spans="2:16" ht="15.75">
      <c r="B89" s="23"/>
      <c r="C89" s="5" t="s">
        <v>21</v>
      </c>
      <c r="D89" s="8">
        <f>+((2.001*25/100)/3)*1000000</f>
        <v>166749.99999999997</v>
      </c>
      <c r="E89" s="6">
        <v>231000</v>
      </c>
      <c r="F89" s="6">
        <v>231000</v>
      </c>
      <c r="G89" s="14"/>
      <c r="H89" s="12">
        <v>372829.22</v>
      </c>
      <c r="I89" s="12">
        <v>222850.54</v>
      </c>
      <c r="J89" s="12">
        <v>77698.64</v>
      </c>
      <c r="K89" s="12">
        <v>47519.21</v>
      </c>
      <c r="L89" s="12">
        <v>0</v>
      </c>
      <c r="M89" s="12">
        <v>0</v>
      </c>
      <c r="N89" s="12">
        <v>97632.69</v>
      </c>
      <c r="O89" s="12">
        <v>0</v>
      </c>
      <c r="P89" s="17"/>
    </row>
    <row r="90" spans="2:16" ht="15.75">
      <c r="B90" s="23">
        <v>45413</v>
      </c>
      <c r="C90" s="5" t="s">
        <v>19</v>
      </c>
      <c r="D90" s="8">
        <f>+((1.432*25/100)/3)*1000000</f>
        <v>119333.33333333333</v>
      </c>
      <c r="E90" s="6">
        <f>1*3850*31+150000+15000+180000</f>
        <v>464350</v>
      </c>
      <c r="F90" s="6">
        <f>1*3850*31+150000+15000+180000</f>
        <v>464350</v>
      </c>
      <c r="G90" s="14"/>
      <c r="H90" s="12">
        <v>263245.32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7"/>
    </row>
    <row r="91" spans="2:16" ht="15.75">
      <c r="B91" s="23"/>
      <c r="C91" s="5" t="s">
        <v>20</v>
      </c>
      <c r="D91" s="8">
        <f>+((3.879*25/100)/3)*1000000</f>
        <v>323250</v>
      </c>
      <c r="E91" s="6">
        <v>238700</v>
      </c>
      <c r="F91" s="6">
        <v>238700</v>
      </c>
      <c r="G91" s="14"/>
      <c r="H91" s="12">
        <v>403670.7</v>
      </c>
      <c r="I91" s="12">
        <v>213914.77</v>
      </c>
      <c r="J91" s="12">
        <v>118795.63</v>
      </c>
      <c r="K91" s="12">
        <v>65430.79</v>
      </c>
      <c r="L91" s="12">
        <v>3665.5</v>
      </c>
      <c r="M91" s="12">
        <v>0</v>
      </c>
      <c r="N91" s="12">
        <v>26022.85</v>
      </c>
      <c r="O91" s="12">
        <v>0</v>
      </c>
      <c r="P91" s="17"/>
    </row>
    <row r="92" spans="2:16" ht="15.75">
      <c r="B92" s="23"/>
      <c r="C92" s="5" t="s">
        <v>21</v>
      </c>
      <c r="D92" s="8">
        <f>+((2.001*25/100)/3)*1000000</f>
        <v>166749.99999999997</v>
      </c>
      <c r="E92" s="6">
        <v>372000</v>
      </c>
      <c r="F92" s="6">
        <v>372000</v>
      </c>
      <c r="G92" s="14"/>
      <c r="H92" s="12">
        <v>451259.57</v>
      </c>
      <c r="I92" s="12">
        <v>309593.57</v>
      </c>
      <c r="J92" s="12">
        <v>100957.27</v>
      </c>
      <c r="K92" s="12">
        <v>101173.85</v>
      </c>
      <c r="L92" s="12">
        <v>11847.03</v>
      </c>
      <c r="M92" s="12">
        <v>0</v>
      </c>
      <c r="N92" s="12">
        <v>95615.42</v>
      </c>
      <c r="O92" s="12">
        <v>0</v>
      </c>
      <c r="P92" s="17"/>
    </row>
    <row r="93" spans="2:16" ht="15.75">
      <c r="B93" s="23">
        <v>45444</v>
      </c>
      <c r="C93" s="5" t="s">
        <v>19</v>
      </c>
      <c r="D93" s="8">
        <f>+((1.432*25/100)/3)*1000000</f>
        <v>119333.33333333333</v>
      </c>
      <c r="E93" s="6">
        <f>1*30*3850+150000+150000+180000</f>
        <v>595500</v>
      </c>
      <c r="F93" s="6">
        <f>1*30*3850+150000+150000+180000</f>
        <v>595500</v>
      </c>
      <c r="G93" s="14"/>
      <c r="H93" s="12">
        <v>256731.82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7"/>
    </row>
    <row r="94" spans="2:16" ht="15.75">
      <c r="B94" s="23"/>
      <c r="C94" s="5" t="s">
        <v>20</v>
      </c>
      <c r="D94" s="8">
        <f>+((3.879*25/100)/3)*1000000</f>
        <v>323250</v>
      </c>
      <c r="E94" s="6">
        <f>360000+155000+85000</f>
        <v>600000</v>
      </c>
      <c r="F94" s="6">
        <f>360000+155000+85000</f>
        <v>600000</v>
      </c>
      <c r="G94" s="14"/>
      <c r="H94" s="12">
        <v>153478.04</v>
      </c>
      <c r="I94" s="12">
        <v>72926.320000000007</v>
      </c>
      <c r="J94" s="12">
        <v>30734.32</v>
      </c>
      <c r="K94" s="12">
        <v>11840.27</v>
      </c>
      <c r="L94" s="12">
        <v>30351.73</v>
      </c>
      <c r="M94" s="12">
        <v>0</v>
      </c>
      <c r="N94" s="12">
        <v>0</v>
      </c>
      <c r="O94" s="12">
        <v>0</v>
      </c>
      <c r="P94" s="17"/>
    </row>
    <row r="95" spans="2:16" ht="15.75">
      <c r="B95" s="23"/>
      <c r="C95" s="5" t="s">
        <v>21</v>
      </c>
      <c r="D95" s="8">
        <f>+((2.001*25/100)/3)*1000000</f>
        <v>166749.99999999997</v>
      </c>
      <c r="E95" s="6">
        <v>240000</v>
      </c>
      <c r="F95" s="6">
        <v>240000</v>
      </c>
      <c r="G95" s="14"/>
      <c r="H95" s="12">
        <v>470002.94</v>
      </c>
      <c r="I95" s="12">
        <v>273769.45</v>
      </c>
      <c r="J95" s="12">
        <v>103094.12</v>
      </c>
      <c r="K95" s="12">
        <v>71323.81</v>
      </c>
      <c r="L95" s="12">
        <v>63733.3</v>
      </c>
      <c r="M95" s="12">
        <v>0</v>
      </c>
      <c r="N95" s="12">
        <v>31851.49</v>
      </c>
      <c r="O95" s="12">
        <v>3766.73</v>
      </c>
      <c r="P95" s="17"/>
    </row>
    <row r="96" spans="2:16" ht="15.75">
      <c r="B96" s="23">
        <v>45474</v>
      </c>
      <c r="C96" s="5" t="s">
        <v>19</v>
      </c>
      <c r="D96" s="8">
        <f>+((1.432*22/100)/3)*1000000</f>
        <v>105013.33333333333</v>
      </c>
      <c r="E96" s="6">
        <f>1*31*3850+150000+15500+186000</f>
        <v>470850</v>
      </c>
      <c r="F96" s="6">
        <f>1*31*3850+150000+15500+186000</f>
        <v>470850</v>
      </c>
      <c r="G96" s="14"/>
      <c r="H96" s="12">
        <v>195057.64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7"/>
    </row>
    <row r="97" spans="2:16" ht="15.75">
      <c r="B97" s="23"/>
      <c r="C97" s="5" t="s">
        <v>20</v>
      </c>
      <c r="D97" s="8">
        <f>+((3.879*22/100)/3)*1000000</f>
        <v>284460</v>
      </c>
      <c r="E97" s="6">
        <f>238700+155000+85000</f>
        <v>478700</v>
      </c>
      <c r="F97" s="6">
        <f>238700+155000+85000</f>
        <v>478700</v>
      </c>
      <c r="G97" s="14"/>
      <c r="H97" s="12">
        <v>405230.52</v>
      </c>
      <c r="I97" s="12">
        <v>226366.7</v>
      </c>
      <c r="J97" s="12">
        <v>54560.74</v>
      </c>
      <c r="K97" s="12">
        <v>78713.56</v>
      </c>
      <c r="L97" s="12">
        <v>92958.8</v>
      </c>
      <c r="M97" s="12">
        <v>0</v>
      </c>
      <c r="N97" s="12">
        <v>133.6</v>
      </c>
      <c r="O97" s="12">
        <v>0</v>
      </c>
      <c r="P97" s="17"/>
    </row>
    <row r="98" spans="2:16" ht="15.75">
      <c r="B98" s="23"/>
      <c r="C98" s="5" t="s">
        <v>21</v>
      </c>
      <c r="D98" s="8">
        <f>+((2.001*22/100)/3)*1000000</f>
        <v>146740</v>
      </c>
      <c r="E98" s="6">
        <v>358050</v>
      </c>
      <c r="F98" s="6">
        <v>358050</v>
      </c>
      <c r="G98" s="14"/>
      <c r="H98" s="12">
        <v>342197.57</v>
      </c>
      <c r="I98" s="12">
        <v>195116.92</v>
      </c>
      <c r="J98" s="12">
        <v>51631.42</v>
      </c>
      <c r="K98" s="12">
        <v>51935.33</v>
      </c>
      <c r="L98" s="12">
        <v>87493.27</v>
      </c>
      <c r="M98" s="12">
        <v>0</v>
      </c>
      <c r="N98" s="12">
        <v>4056.9</v>
      </c>
      <c r="O98" s="12">
        <v>0</v>
      </c>
      <c r="P98" s="17"/>
    </row>
    <row r="99" spans="2:16" ht="15.75">
      <c r="B99" s="23">
        <v>45505</v>
      </c>
      <c r="C99" s="5" t="s">
        <v>19</v>
      </c>
      <c r="D99" s="8">
        <f>+((1.432*22/100)/3)*1000000</f>
        <v>105013.33333333333</v>
      </c>
      <c r="E99" s="6">
        <f>2*31*3850+93000+15500+186000</f>
        <v>533200</v>
      </c>
      <c r="F99" s="6">
        <f>2*31*3850+93000+15500+186000</f>
        <v>533200</v>
      </c>
      <c r="G99" s="14"/>
      <c r="H99" s="12">
        <v>203844.96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7"/>
    </row>
    <row r="100" spans="2:16" ht="15.75">
      <c r="B100" s="23"/>
      <c r="C100" s="5" t="s">
        <v>20</v>
      </c>
      <c r="D100" s="8">
        <f>+((3.879*22/100)/3)*1000000</f>
        <v>284460</v>
      </c>
      <c r="E100" s="6">
        <f>238700+155000+85000</f>
        <v>478700</v>
      </c>
      <c r="F100" s="6">
        <f>238700+155000+85000</f>
        <v>478700</v>
      </c>
      <c r="G100" s="14"/>
      <c r="H100" s="12">
        <v>314807.61</v>
      </c>
      <c r="I100" s="12">
        <v>93020.69</v>
      </c>
      <c r="J100" s="12">
        <v>50205.95</v>
      </c>
      <c r="K100" s="12">
        <v>15411.68</v>
      </c>
      <c r="L100" s="12">
        <v>23287.360000000001</v>
      </c>
      <c r="M100" s="12">
        <v>0</v>
      </c>
      <c r="N100" s="12">
        <v>4115.7</v>
      </c>
      <c r="O100" s="12">
        <v>0</v>
      </c>
      <c r="P100" s="17"/>
    </row>
    <row r="101" spans="2:16" ht="15.75">
      <c r="B101" s="23"/>
      <c r="C101" s="5" t="s">
        <v>21</v>
      </c>
      <c r="D101" s="8">
        <f>+((2.001*22/100)/3)*1000000</f>
        <v>146740</v>
      </c>
      <c r="E101" s="6">
        <v>358050</v>
      </c>
      <c r="F101" s="6">
        <v>358050</v>
      </c>
      <c r="G101" s="14"/>
      <c r="H101" s="12">
        <v>131821.24</v>
      </c>
      <c r="I101" s="12">
        <v>60194.33</v>
      </c>
      <c r="J101" s="12">
        <v>19928.009999999998</v>
      </c>
      <c r="K101" s="12">
        <v>4050.35</v>
      </c>
      <c r="L101" s="12">
        <v>36215.97</v>
      </c>
      <c r="M101" s="12">
        <v>0</v>
      </c>
      <c r="N101" s="12">
        <v>0</v>
      </c>
      <c r="O101" s="12">
        <v>0</v>
      </c>
      <c r="P101" s="17"/>
    </row>
    <row r="102" spans="2:16" ht="15.75">
      <c r="B102" s="23">
        <v>45536</v>
      </c>
      <c r="C102" s="5" t="s">
        <v>19</v>
      </c>
      <c r="D102" s="8">
        <f>+((1.432*22/100)/3)*1000000</f>
        <v>105013.33333333333</v>
      </c>
      <c r="E102" s="6">
        <f>1*30*3850+114000+11400+90000</f>
        <v>330900</v>
      </c>
      <c r="F102" s="6">
        <f>1*30*3850+114000+11400+90000</f>
        <v>330900</v>
      </c>
      <c r="G102" s="14"/>
      <c r="H102" s="12">
        <v>302771.45</v>
      </c>
      <c r="I102" s="12">
        <v>19643.88</v>
      </c>
      <c r="J102" s="12">
        <v>0</v>
      </c>
      <c r="K102" s="12">
        <v>19643.88</v>
      </c>
      <c r="L102" s="12">
        <v>0</v>
      </c>
      <c r="M102" s="12">
        <v>0</v>
      </c>
      <c r="N102" s="12">
        <v>0</v>
      </c>
      <c r="O102" s="12">
        <v>0</v>
      </c>
      <c r="P102" s="17"/>
    </row>
    <row r="103" spans="2:16" ht="15.75">
      <c r="B103" s="23"/>
      <c r="C103" s="5" t="s">
        <v>20</v>
      </c>
      <c r="D103" s="8">
        <f>+((3.879*22/100)/3)*1000000</f>
        <v>284460</v>
      </c>
      <c r="E103" s="6">
        <f>115500+100000+40000</f>
        <v>255500</v>
      </c>
      <c r="F103" s="6">
        <f>115500+100000+40000</f>
        <v>255500</v>
      </c>
      <c r="G103" s="14"/>
      <c r="H103" s="12">
        <v>559703.17000000004</v>
      </c>
      <c r="I103" s="12">
        <v>253527.05</v>
      </c>
      <c r="J103" s="12">
        <v>96723.92</v>
      </c>
      <c r="K103" s="12">
        <v>35171.82</v>
      </c>
      <c r="L103" s="12">
        <v>109664.16</v>
      </c>
      <c r="M103" s="12">
        <v>0</v>
      </c>
      <c r="N103" s="12">
        <v>11967.15</v>
      </c>
      <c r="O103" s="12">
        <v>0</v>
      </c>
      <c r="P103" s="17"/>
    </row>
    <row r="104" spans="2:16" ht="15.75">
      <c r="B104" s="23"/>
      <c r="C104" s="5" t="s">
        <v>21</v>
      </c>
      <c r="D104" s="8">
        <f>+((2.001*22/100)/3)*1000000</f>
        <v>146740</v>
      </c>
      <c r="E104" s="6">
        <v>231000</v>
      </c>
      <c r="F104" s="6">
        <v>231000</v>
      </c>
      <c r="G104" s="14"/>
      <c r="H104" s="12">
        <v>215660.82</v>
      </c>
      <c r="I104" s="12">
        <v>188076.06</v>
      </c>
      <c r="J104" s="12">
        <v>28096.75</v>
      </c>
      <c r="K104" s="12">
        <v>15793.57</v>
      </c>
      <c r="L104" s="12">
        <v>132319.15</v>
      </c>
      <c r="M104" s="12">
        <v>0</v>
      </c>
      <c r="N104" s="12">
        <v>11866.59</v>
      </c>
      <c r="O104" s="12">
        <v>0</v>
      </c>
      <c r="P104" s="17"/>
    </row>
    <row r="105" spans="2:16" ht="15.75">
      <c r="B105" s="23">
        <v>45566</v>
      </c>
      <c r="C105" s="5" t="s">
        <v>19</v>
      </c>
      <c r="D105" s="8">
        <f>+((1.432*25/100)/3)*1000000</f>
        <v>119333.33333333333</v>
      </c>
      <c r="E105" s="6">
        <f>1*31*3850+93000+12000+93000</f>
        <v>317350</v>
      </c>
      <c r="F105" s="6">
        <f>1*31*3850+93000+12000+93000</f>
        <v>317350</v>
      </c>
      <c r="G105" s="14"/>
      <c r="H105" s="12">
        <v>311630.63</v>
      </c>
      <c r="I105" s="12">
        <v>11878.23</v>
      </c>
      <c r="J105" s="12">
        <v>0</v>
      </c>
      <c r="K105" s="12">
        <v>11878.23</v>
      </c>
      <c r="L105" s="12">
        <v>0</v>
      </c>
      <c r="M105" s="12">
        <v>0</v>
      </c>
      <c r="N105" s="12">
        <v>0</v>
      </c>
      <c r="O105" s="12">
        <v>0</v>
      </c>
      <c r="P105" s="17"/>
    </row>
    <row r="106" spans="2:16" ht="15.75">
      <c r="B106" s="23"/>
      <c r="C106" s="5" t="s">
        <v>20</v>
      </c>
      <c r="D106" s="8">
        <f>+((3.879*25/100)/3)*1000000</f>
        <v>323250</v>
      </c>
      <c r="E106" s="6">
        <f>288750+155160+85030</f>
        <v>528940</v>
      </c>
      <c r="F106" s="6">
        <f>288750+155160+85030</f>
        <v>528940</v>
      </c>
      <c r="G106" s="14"/>
      <c r="H106" s="12">
        <v>552104.23</v>
      </c>
      <c r="I106" s="12">
        <v>280438.75</v>
      </c>
      <c r="J106" s="12">
        <v>85041.01</v>
      </c>
      <c r="K106" s="12">
        <v>27197.54</v>
      </c>
      <c r="L106" s="12">
        <v>160183.09</v>
      </c>
      <c r="M106" s="12">
        <v>0</v>
      </c>
      <c r="N106" s="12">
        <v>8017.11</v>
      </c>
      <c r="O106" s="12">
        <v>0</v>
      </c>
      <c r="P106" s="17"/>
    </row>
    <row r="107" spans="2:16" ht="15.75">
      <c r="B107" s="23"/>
      <c r="C107" s="5" t="s">
        <v>21</v>
      </c>
      <c r="D107" s="8">
        <f>+((2.001*25/100)/3)*1000000</f>
        <v>166749.99999999997</v>
      </c>
      <c r="E107" s="6">
        <v>354200</v>
      </c>
      <c r="F107" s="6">
        <v>354200</v>
      </c>
      <c r="G107" s="14"/>
      <c r="H107" s="12">
        <v>218537.25</v>
      </c>
      <c r="I107" s="12">
        <v>179054.05</v>
      </c>
      <c r="J107" s="12">
        <v>31717.279999999999</v>
      </c>
      <c r="K107" s="12">
        <v>27648.13</v>
      </c>
      <c r="L107" s="12">
        <v>119688.64</v>
      </c>
      <c r="M107" s="12">
        <v>0</v>
      </c>
      <c r="N107" s="12">
        <v>0</v>
      </c>
      <c r="O107" s="12">
        <v>0</v>
      </c>
      <c r="P107" s="17"/>
    </row>
  </sheetData>
  <autoFilter ref="B5:P107" xr:uid="{505F6881-E25C-4E4C-A904-E883F6E40DC9}">
    <filterColumn colId="13" showButton="0"/>
  </autoFilter>
  <mergeCells count="33">
    <mergeCell ref="C5:C6"/>
    <mergeCell ref="B7:B9"/>
    <mergeCell ref="B48:B50"/>
    <mergeCell ref="B10:B12"/>
    <mergeCell ref="B51:B53"/>
    <mergeCell ref="B5:B6"/>
    <mergeCell ref="B66:B68"/>
    <mergeCell ref="B28:B30"/>
    <mergeCell ref="B69:B71"/>
    <mergeCell ref="B13:B15"/>
    <mergeCell ref="B54:B56"/>
    <mergeCell ref="B16:B18"/>
    <mergeCell ref="B57:B59"/>
    <mergeCell ref="B19:B21"/>
    <mergeCell ref="B60:B62"/>
    <mergeCell ref="B22:B24"/>
    <mergeCell ref="B63:B65"/>
    <mergeCell ref="B25:B27"/>
    <mergeCell ref="B102:B104"/>
    <mergeCell ref="B105:B107"/>
    <mergeCell ref="B87:B89"/>
    <mergeCell ref="B90:B92"/>
    <mergeCell ref="B93:B95"/>
    <mergeCell ref="B96:B98"/>
    <mergeCell ref="B99:B101"/>
    <mergeCell ref="B34:B36"/>
    <mergeCell ref="B75:B77"/>
    <mergeCell ref="B78:B80"/>
    <mergeCell ref="B81:B83"/>
    <mergeCell ref="B37:B40"/>
    <mergeCell ref="B41:B44"/>
    <mergeCell ref="B31:B33"/>
    <mergeCell ref="B72:B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NITIN BAGALE</dc:creator>
  <cp:keywords/>
  <dc:description/>
  <cp:lastModifiedBy>coalcordkpkd</cp:lastModifiedBy>
  <cp:revision/>
  <dcterms:created xsi:type="dcterms:W3CDTF">2015-06-05T18:17:20Z</dcterms:created>
  <dcterms:modified xsi:type="dcterms:W3CDTF">2024-11-22T12:57:40Z</dcterms:modified>
  <cp:category/>
  <cp:contentStatus/>
</cp:coreProperties>
</file>